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bra\Downloads\"/>
    </mc:Choice>
  </mc:AlternateContent>
  <xr:revisionPtr revIDLastSave="0" documentId="8_{59406CCE-AA77-4B6B-820B-1DE8D1CA888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udget" sheetId="13" r:id="rId1"/>
    <sheet name="Known Exp" sheetId="15" r:id="rId2"/>
    <sheet name=" Wage totals" sheetId="16" r:id="rId3"/>
  </sheet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15" l="1"/>
  <c r="B25" i="15"/>
  <c r="C36" i="16"/>
  <c r="B20" i="16"/>
  <c r="L35" i="16"/>
  <c r="E5" i="16"/>
  <c r="F5" i="16"/>
  <c r="G5" i="16"/>
  <c r="H5" i="16"/>
  <c r="I5" i="16"/>
  <c r="J5" i="16"/>
  <c r="K5" i="16"/>
  <c r="B19" i="15"/>
  <c r="D31" i="13" s="1"/>
  <c r="B8" i="16"/>
  <c r="B25" i="16" s="1"/>
  <c r="C24" i="16"/>
  <c r="B31" i="15"/>
  <c r="C25" i="16"/>
  <c r="D25" i="16"/>
  <c r="B25" i="13" l="1"/>
  <c r="B45" i="13" s="1"/>
  <c r="B8" i="13"/>
  <c r="B15" i="13" s="1"/>
  <c r="C15" i="13"/>
  <c r="C45" i="13"/>
  <c r="C46" i="13" l="1"/>
  <c r="B46" i="13"/>
  <c r="E25" i="16"/>
  <c r="F25" i="16" l="1"/>
  <c r="G25" i="16"/>
  <c r="L33" i="16"/>
  <c r="L34" i="16"/>
  <c r="B21" i="16" s="1"/>
  <c r="B22" i="16"/>
  <c r="L36" i="16"/>
  <c r="B23" i="16" s="1"/>
  <c r="B24" i="16"/>
  <c r="J25" i="16" l="1"/>
  <c r="K25" i="16" s="1"/>
  <c r="E7" i="16"/>
  <c r="G7" i="16" l="1"/>
  <c r="I7" i="16"/>
  <c r="F7" i="16"/>
  <c r="H7" i="16"/>
  <c r="B11" i="15"/>
  <c r="J7" i="16" l="1"/>
  <c r="K7" i="16" s="1"/>
  <c r="D5" i="13"/>
  <c r="E22" i="16" l="1"/>
  <c r="E24" i="16"/>
  <c r="L32" i="16"/>
  <c r="H22" i="16" l="1"/>
  <c r="I22" i="16"/>
  <c r="F22" i="16"/>
  <c r="G22" i="16"/>
  <c r="G24" i="16"/>
  <c r="I24" i="16"/>
  <c r="F24" i="16"/>
  <c r="H24" i="16"/>
  <c r="E8" i="16"/>
  <c r="B33" i="15"/>
  <c r="B29" i="15" s="1"/>
  <c r="J22" i="16" l="1"/>
  <c r="K22" i="16" s="1"/>
  <c r="J24" i="16"/>
  <c r="K24" i="16" s="1"/>
  <c r="F8" i="16"/>
  <c r="G8" i="16"/>
  <c r="E23" i="16"/>
  <c r="E6" i="16"/>
  <c r="G23" i="16" l="1"/>
  <c r="I23" i="16"/>
  <c r="F23" i="16"/>
  <c r="H23" i="16"/>
  <c r="J8" i="16"/>
  <c r="K8" i="16" s="1"/>
  <c r="I6" i="16"/>
  <c r="F6" i="16"/>
  <c r="G6" i="16"/>
  <c r="H6" i="16"/>
  <c r="J23" i="16" l="1"/>
  <c r="K23" i="16" s="1"/>
  <c r="J6" i="16"/>
  <c r="K6" i="16" s="1"/>
  <c r="E35" i="13" l="1"/>
  <c r="D25" i="13" l="1"/>
  <c r="E40" i="13"/>
  <c r="B24" i="15" l="1"/>
  <c r="E37" i="13" l="1"/>
  <c r="E43" i="13" l="1"/>
  <c r="E41" i="13"/>
  <c r="E21" i="13"/>
  <c r="E30" i="13"/>
  <c r="E34" i="13"/>
  <c r="E36" i="13"/>
  <c r="E39" i="13"/>
  <c r="E27" i="13"/>
  <c r="E7" i="13"/>
  <c r="E9" i="13"/>
  <c r="E10" i="13"/>
  <c r="E11" i="13"/>
  <c r="E13" i="13"/>
  <c r="E14" i="13"/>
  <c r="E4" i="13"/>
  <c r="E42" i="13" l="1"/>
  <c r="D8" i="13" l="1"/>
  <c r="D15" i="13" l="1"/>
  <c r="E33" i="13" l="1"/>
  <c r="E12" i="13"/>
  <c r="E15" i="13" l="1"/>
  <c r="E8" i="13"/>
  <c r="E28" i="13" l="1"/>
  <c r="E20" i="16"/>
  <c r="E3" i="16"/>
  <c r="I20" i="16" l="1"/>
  <c r="G20" i="16"/>
  <c r="F20" i="16"/>
  <c r="H20" i="16"/>
  <c r="H3" i="16"/>
  <c r="G3" i="16"/>
  <c r="F3" i="16"/>
  <c r="I3" i="16"/>
  <c r="J20" i="16" l="1"/>
  <c r="K20" i="16" s="1"/>
  <c r="J3" i="16"/>
  <c r="K3" i="16" s="1"/>
  <c r="E21" i="16"/>
  <c r="C26" i="16"/>
  <c r="E4" i="16"/>
  <c r="C9" i="16"/>
  <c r="E26" i="16" l="1"/>
  <c r="G21" i="16"/>
  <c r="H21" i="16"/>
  <c r="I21" i="16"/>
  <c r="F21" i="16"/>
  <c r="H4" i="16"/>
  <c r="H9" i="16" s="1"/>
  <c r="F4" i="16"/>
  <c r="G4" i="16"/>
  <c r="I4" i="16"/>
  <c r="I9" i="16" s="1"/>
  <c r="E9" i="16"/>
  <c r="J21" i="16" l="1"/>
  <c r="J26" i="16" s="1"/>
  <c r="J4" i="16"/>
  <c r="J9" i="16" s="1"/>
  <c r="K9" i="16" s="1"/>
  <c r="E18" i="13"/>
  <c r="K21" i="16" l="1"/>
  <c r="K4" i="16"/>
  <c r="E19" i="13"/>
  <c r="K26" i="16"/>
  <c r="D20" i="13"/>
  <c r="D45" i="13" l="1"/>
  <c r="D46" i="13" s="1"/>
  <c r="E45" i="13" l="1"/>
</calcChain>
</file>

<file path=xl/sharedStrings.xml><?xml version="1.0" encoding="utf-8"?>
<sst xmlns="http://schemas.openxmlformats.org/spreadsheetml/2006/main" count="167" uniqueCount="138">
  <si>
    <t>General Operating Funds Budget Worksheet 2024</t>
  </si>
  <si>
    <t>Accepted 2023</t>
  </si>
  <si>
    <t>as of 12/7/2023</t>
  </si>
  <si>
    <t>Proposed 2024</t>
  </si>
  <si>
    <t>Change</t>
  </si>
  <si>
    <t>Income</t>
  </si>
  <si>
    <t xml:space="preserve">Tax Levy </t>
  </si>
  <si>
    <t>Vote on @ Octorber meeting</t>
  </si>
  <si>
    <t>See options</t>
  </si>
  <si>
    <t>Money for Children's Library</t>
  </si>
  <si>
    <t>Money From Savings</t>
  </si>
  <si>
    <t>Copying/Printing</t>
  </si>
  <si>
    <t>Fundraising (see line 9-11)</t>
  </si>
  <si>
    <t>Sum of the values in grey below</t>
  </si>
  <si>
    <t>Book Sales</t>
  </si>
  <si>
    <t>Look at prior year and discuss with Director/finance committee</t>
  </si>
  <si>
    <t>Donations</t>
  </si>
  <si>
    <t>Fundraising other (include $6K Blowers)</t>
  </si>
  <si>
    <t>Grants, money jar; Blowers</t>
  </si>
  <si>
    <t>STLS (Local Library Service Aid)</t>
  </si>
  <si>
    <t>STLS sends value in October</t>
  </si>
  <si>
    <t>Insurance Dividends</t>
  </si>
  <si>
    <t>Typically $250</t>
  </si>
  <si>
    <t>Interest</t>
  </si>
  <si>
    <t>Look at prior year</t>
  </si>
  <si>
    <t>TOTAL INCOME</t>
  </si>
  <si>
    <t>Expenses</t>
  </si>
  <si>
    <t>Wages</t>
  </si>
  <si>
    <t>populated from Wage Totals sheet</t>
  </si>
  <si>
    <t>Payroll Fees</t>
  </si>
  <si>
    <t>Employee Expenses (DBL, WC)</t>
  </si>
  <si>
    <t>From Known Exp sheet</t>
  </si>
  <si>
    <t>Collections</t>
  </si>
  <si>
    <t>$15K + whatever you can increase to and still stay on budget</t>
  </si>
  <si>
    <t>Print Material</t>
  </si>
  <si>
    <t>Electronic Material</t>
  </si>
  <si>
    <t>Other Material (audio books, DVD's)</t>
  </si>
  <si>
    <t>Operations &amp; Mainenance</t>
  </si>
  <si>
    <t>Repairs</t>
  </si>
  <si>
    <t>$500 unless known to have repairs needed for the year</t>
  </si>
  <si>
    <t>Utilities</t>
  </si>
  <si>
    <t>Use Know exp as starting point</t>
  </si>
  <si>
    <t>Insurance</t>
  </si>
  <si>
    <t>See invoice from Utica for prior year</t>
  </si>
  <si>
    <t>Other (furnishings)</t>
  </si>
  <si>
    <t>Based on need; need desk for office</t>
  </si>
  <si>
    <t>Office Supplies</t>
  </si>
  <si>
    <t>check previous year</t>
  </si>
  <si>
    <t>Cleaner</t>
  </si>
  <si>
    <t>From Known Exp sheet. Service only; does not include supplies</t>
  </si>
  <si>
    <t>Cleaning Supplies</t>
  </si>
  <si>
    <t>Amazon, Walmart</t>
  </si>
  <si>
    <t>Telecom (internet, telephone)</t>
  </si>
  <si>
    <t>Postage/Shipping</t>
  </si>
  <si>
    <t>Bookeeper</t>
  </si>
  <si>
    <t>Bookkeeper payments check quickbooks</t>
  </si>
  <si>
    <t>Accounting Fees</t>
  </si>
  <si>
    <t>Cost for John Terry to do taxes - $600 every year</t>
  </si>
  <si>
    <t>Taxes and auditor/payroll system; budgeting 2500 to file past and present 990</t>
  </si>
  <si>
    <t>Equipment</t>
  </si>
  <si>
    <t>Computers, printers, etc. - based on need</t>
  </si>
  <si>
    <t>Technology</t>
  </si>
  <si>
    <t>Program Expense</t>
  </si>
  <si>
    <t>Per director</t>
  </si>
  <si>
    <t>Seminars/Continuing ed</t>
  </si>
  <si>
    <t>Publicity/Advertising</t>
  </si>
  <si>
    <t>Dues/Membership fees</t>
  </si>
  <si>
    <t>Cost Share STLS Fees</t>
  </si>
  <si>
    <t xml:space="preserve">Other  </t>
  </si>
  <si>
    <t>Budget as zero</t>
  </si>
  <si>
    <t>TOTAL EXPENSES</t>
  </si>
  <si>
    <t>Revenue Less Expenses</t>
  </si>
  <si>
    <t>Should be zero</t>
  </si>
  <si>
    <t>2024 - Expecting utilities to be lower; potential carryover from 2023; Blowers; grants; payroll</t>
  </si>
  <si>
    <t>KNOWN EXP - Check all values using QuickBooks</t>
  </si>
  <si>
    <t>Payroll fees</t>
  </si>
  <si>
    <t>check rates</t>
  </si>
  <si>
    <t>Travelers (workmans comp)</t>
  </si>
  <si>
    <t>See Travelers statement for rates</t>
  </si>
  <si>
    <t>Shelter Point (NYS DBL)</t>
  </si>
  <si>
    <t>See Shelter point statement for rates</t>
  </si>
  <si>
    <t>Cost share STLS</t>
  </si>
  <si>
    <t>Directly from STLS (digital library contribution and ILS cost shares)</t>
  </si>
  <si>
    <t>Dues</t>
  </si>
  <si>
    <t>PO Box</t>
  </si>
  <si>
    <t>Chamber Dues</t>
  </si>
  <si>
    <t>STLS Dues</t>
  </si>
  <si>
    <t>quarterly</t>
  </si>
  <si>
    <t>NYLA</t>
  </si>
  <si>
    <t>for 2 people with no scholarship</t>
  </si>
  <si>
    <t>Amazon dues</t>
  </si>
  <si>
    <t>ALA</t>
  </si>
  <si>
    <t>check weekly rate $80/week in 2023</t>
  </si>
  <si>
    <t>spent 150 in 2023 Amazon and Walmart; added line item for 2024</t>
  </si>
  <si>
    <t>Telecom</t>
  </si>
  <si>
    <t>Dark fiber / Internet Fees</t>
  </si>
  <si>
    <t>STLS quarterly Bill of $255</t>
  </si>
  <si>
    <t>Telephone</t>
  </si>
  <si>
    <t>Empire bill $56.76/month</t>
  </si>
  <si>
    <t>Expecting to see a decrease (NYSEG) in 2024 due to weatherization of basement and attic, and heat pump installation</t>
  </si>
  <si>
    <t xml:space="preserve">Technology   </t>
  </si>
  <si>
    <t>Microsoft</t>
  </si>
  <si>
    <t>cost is annual. Will be $0 by spring</t>
  </si>
  <si>
    <t>Payroll</t>
  </si>
  <si>
    <t>Constant Contact</t>
  </si>
  <si>
    <t>Newsletters</t>
  </si>
  <si>
    <t>quickbooks</t>
  </si>
  <si>
    <t>Website &amp; Domain</t>
  </si>
  <si>
    <t>managed by STLS</t>
  </si>
  <si>
    <t>Total Hours General - 2024 - w/ increase and new position</t>
  </si>
  <si>
    <t>Hourly Rate</t>
  </si>
  <si>
    <t>Hours/ Week</t>
  </si>
  <si>
    <t># Weeks</t>
  </si>
  <si>
    <t>Annual Gross Salary</t>
  </si>
  <si>
    <t>Social Security</t>
  </si>
  <si>
    <t>Medicare</t>
  </si>
  <si>
    <t>NY UI</t>
  </si>
  <si>
    <t>NY RE EMP</t>
  </si>
  <si>
    <t>Employer Requirements</t>
  </si>
  <si>
    <t>Total Wage Cost</t>
  </si>
  <si>
    <t>Library Director</t>
  </si>
  <si>
    <t xml:space="preserve">Library Clerk  </t>
  </si>
  <si>
    <t>Children's Library Specialist</t>
  </si>
  <si>
    <t>Library Clerk (tentative new position)</t>
  </si>
  <si>
    <t>PTO Replacement</t>
  </si>
  <si>
    <t xml:space="preserve">General Library 2024 </t>
  </si>
  <si>
    <t>Library Clerk</t>
  </si>
  <si>
    <t>Proposed Wage Rates</t>
  </si>
  <si>
    <t>Employee</t>
  </si>
  <si>
    <t>2024 rate</t>
  </si>
  <si>
    <t>vacation coverage</t>
  </si>
  <si>
    <t>weeks</t>
  </si>
  <si>
    <t>hours</t>
  </si>
  <si>
    <t>Jess</t>
  </si>
  <si>
    <t>Hannah</t>
  </si>
  <si>
    <t>Alexandra</t>
  </si>
  <si>
    <t>New</t>
  </si>
  <si>
    <t>2%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</si>
</sst>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 val="singleAccounting"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</cellStyleXfs>
  <cellXfs count="138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44" fontId="2" fillId="0" borderId="1" xfId="1" applyFont="1" applyFill="1" applyBorder="1" applyAlignment="1">
      <alignment wrapText="1"/>
    </xf>
    <xf numFmtId="0" fontId="2" fillId="0" borderId="1" xfId="0" applyFont="1" applyBorder="1"/>
    <xf numFmtId="44" fontId="0" fillId="0" borderId="1" xfId="1" applyFont="1" applyFill="1" applyBorder="1"/>
    <xf numFmtId="1" fontId="0" fillId="0" borderId="1" xfId="0" applyNumberFormat="1" applyBorder="1"/>
    <xf numFmtId="44" fontId="2" fillId="0" borderId="2" xfId="1" applyFont="1" applyFill="1" applyBorder="1"/>
    <xf numFmtId="44" fontId="2" fillId="0" borderId="2" xfId="0" applyNumberFormat="1" applyFont="1" applyBorder="1" applyAlignment="1">
      <alignment wrapText="1"/>
    </xf>
    <xf numFmtId="44" fontId="0" fillId="0" borderId="0" xfId="1" applyFont="1" applyFill="1"/>
    <xf numFmtId="0" fontId="0" fillId="0" borderId="0" xfId="0" applyAlignment="1">
      <alignment wrapText="1"/>
    </xf>
    <xf numFmtId="44" fontId="2" fillId="0" borderId="1" xfId="1" applyFont="1" applyFill="1" applyBorder="1"/>
    <xf numFmtId="0" fontId="2" fillId="0" borderId="0" xfId="0" applyFont="1"/>
    <xf numFmtId="44" fontId="0" fillId="0" borderId="0" xfId="0" applyNumberFormat="1"/>
    <xf numFmtId="44" fontId="0" fillId="0" borderId="0" xfId="0" applyNumberFormat="1" applyAlignment="1">
      <alignment wrapText="1"/>
    </xf>
    <xf numFmtId="0" fontId="2" fillId="0" borderId="0" xfId="0" applyFont="1" applyAlignment="1">
      <alignment wrapText="1"/>
    </xf>
    <xf numFmtId="44" fontId="2" fillId="0" borderId="0" xfId="0" applyNumberFormat="1" applyFont="1" applyAlignment="1">
      <alignment wrapText="1"/>
    </xf>
    <xf numFmtId="9" fontId="0" fillId="0" borderId="0" xfId="2" applyFont="1" applyFill="1" applyAlignment="1">
      <alignment wrapText="1"/>
    </xf>
    <xf numFmtId="44" fontId="2" fillId="0" borderId="0" xfId="1" applyFont="1" applyFill="1" applyBorder="1"/>
    <xf numFmtId="44" fontId="2" fillId="0" borderId="0" xfId="0" applyNumberFormat="1" applyFont="1"/>
    <xf numFmtId="0" fontId="5" fillId="0" borderId="1" xfId="0" applyFont="1" applyBorder="1"/>
    <xf numFmtId="44" fontId="2" fillId="0" borderId="1" xfId="0" applyNumberFormat="1" applyFont="1" applyBorder="1" applyAlignment="1">
      <alignment wrapText="1"/>
    </xf>
    <xf numFmtId="1" fontId="2" fillId="0" borderId="1" xfId="0" applyNumberFormat="1" applyFont="1" applyBorder="1"/>
    <xf numFmtId="164" fontId="2" fillId="0" borderId="1" xfId="0" applyNumberFormat="1" applyFont="1" applyBorder="1"/>
    <xf numFmtId="14" fontId="0" fillId="0" borderId="0" xfId="0" applyNumberForma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44" fontId="4" fillId="0" borderId="2" xfId="1" applyFont="1" applyFill="1" applyBorder="1"/>
    <xf numFmtId="0" fontId="6" fillId="0" borderId="1" xfId="0" applyFont="1" applyBorder="1"/>
    <xf numFmtId="44" fontId="4" fillId="0" borderId="2" xfId="0" applyNumberFormat="1" applyFont="1" applyBorder="1" applyAlignment="1">
      <alignment wrapText="1"/>
    </xf>
    <xf numFmtId="44" fontId="4" fillId="0" borderId="1" xfId="0" applyNumberFormat="1" applyFont="1" applyBorder="1" applyAlignment="1">
      <alignment wrapText="1"/>
    </xf>
    <xf numFmtId="44" fontId="6" fillId="0" borderId="0" xfId="1" applyFont="1" applyFill="1"/>
    <xf numFmtId="0" fontId="6" fillId="0" borderId="0" xfId="0" applyFont="1"/>
    <xf numFmtId="0" fontId="6" fillId="0" borderId="0" xfId="0" applyFont="1" applyAlignment="1">
      <alignment wrapText="1"/>
    </xf>
    <xf numFmtId="44" fontId="4" fillId="0" borderId="2" xfId="0" applyNumberFormat="1" applyFont="1" applyBorder="1"/>
    <xf numFmtId="44" fontId="0" fillId="0" borderId="0" xfId="0" applyNumberFormat="1" applyAlignment="1">
      <alignment horizontal="right" wrapText="1"/>
    </xf>
    <xf numFmtId="1" fontId="0" fillId="6" borderId="1" xfId="0" applyNumberFormat="1" applyFill="1" applyBorder="1"/>
    <xf numFmtId="1" fontId="0" fillId="0" borderId="0" xfId="0" applyNumberFormat="1"/>
    <xf numFmtId="0" fontId="4" fillId="0" borderId="2" xfId="0" applyFont="1" applyBorder="1"/>
    <xf numFmtId="0" fontId="5" fillId="0" borderId="0" xfId="0" applyFont="1" applyAlignment="1">
      <alignment wrapText="1"/>
    </xf>
    <xf numFmtId="0" fontId="8" fillId="0" borderId="0" xfId="6" applyFill="1"/>
    <xf numFmtId="44" fontId="9" fillId="0" borderId="1" xfId="1" applyFont="1" applyFill="1" applyBorder="1"/>
    <xf numFmtId="44" fontId="9" fillId="0" borderId="1" xfId="0" applyNumberFormat="1" applyFont="1" applyBorder="1" applyAlignment="1">
      <alignment wrapText="1"/>
    </xf>
    <xf numFmtId="2" fontId="9" fillId="0" borderId="1" xfId="2" applyNumberFormat="1" applyFont="1" applyFill="1" applyBorder="1"/>
    <xf numFmtId="2" fontId="9" fillId="0" borderId="1" xfId="0" applyNumberFormat="1" applyFont="1" applyBorder="1"/>
    <xf numFmtId="10" fontId="9" fillId="0" borderId="1" xfId="0" applyNumberFormat="1" applyFont="1" applyBorder="1"/>
    <xf numFmtId="0" fontId="9" fillId="0" borderId="1" xfId="0" applyFont="1" applyBorder="1"/>
    <xf numFmtId="0" fontId="5" fillId="4" borderId="8" xfId="0" applyFont="1" applyFill="1" applyBorder="1"/>
    <xf numFmtId="44" fontId="7" fillId="4" borderId="8" xfId="0" applyNumberFormat="1" applyFont="1" applyFill="1" applyBorder="1"/>
    <xf numFmtId="0" fontId="0" fillId="0" borderId="8" xfId="0" applyBorder="1"/>
    <xf numFmtId="44" fontId="6" fillId="0" borderId="8" xfId="0" applyNumberFormat="1" applyFont="1" applyBorder="1"/>
    <xf numFmtId="10" fontId="0" fillId="0" borderId="8" xfId="0" applyNumberFormat="1" applyBorder="1"/>
    <xf numFmtId="2" fontId="0" fillId="0" borderId="8" xfId="0" applyNumberFormat="1" applyBorder="1"/>
    <xf numFmtId="44" fontId="0" fillId="0" borderId="8" xfId="0" applyNumberFormat="1" applyBorder="1"/>
    <xf numFmtId="0" fontId="0" fillId="4" borderId="8" xfId="0" applyFill="1" applyBorder="1"/>
    <xf numFmtId="0" fontId="10" fillId="4" borderId="8" xfId="0" applyFont="1" applyFill="1" applyBorder="1"/>
    <xf numFmtId="0" fontId="0" fillId="0" borderId="8" xfId="0" applyBorder="1" applyAlignment="1">
      <alignment wrapText="1"/>
    </xf>
    <xf numFmtId="0" fontId="12" fillId="0" borderId="0" xfId="0" applyFont="1"/>
    <xf numFmtId="0" fontId="11" fillId="0" borderId="1" xfId="0" applyFont="1" applyBorder="1" applyAlignment="1">
      <alignment horizontal="center"/>
    </xf>
    <xf numFmtId="42" fontId="11" fillId="0" borderId="1" xfId="1" applyNumberFormat="1" applyFont="1" applyBorder="1" applyAlignment="1">
      <alignment horizontal="center" vertical="center" wrapText="1"/>
    </xf>
    <xf numFmtId="42" fontId="13" fillId="0" borderId="1" xfId="1" applyNumberFormat="1" applyFont="1" applyFill="1" applyBorder="1" applyAlignment="1">
      <alignment horizontal="center" vertical="center" wrapText="1"/>
    </xf>
    <xf numFmtId="9" fontId="12" fillId="0" borderId="1" xfId="2" applyFont="1" applyBorder="1" applyAlignment="1">
      <alignment vertical="center"/>
    </xf>
    <xf numFmtId="44" fontId="11" fillId="0" borderId="0" xfId="1" applyFont="1" applyFill="1" applyBorder="1" applyAlignment="1">
      <alignment horizontal="center" wrapText="1"/>
    </xf>
    <xf numFmtId="44" fontId="12" fillId="0" borderId="0" xfId="0" applyNumberFormat="1" applyFont="1"/>
    <xf numFmtId="0" fontId="11" fillId="4" borderId="4" xfId="0" applyFont="1" applyFill="1" applyBorder="1"/>
    <xf numFmtId="42" fontId="11" fillId="2" borderId="5" xfId="0" applyNumberFormat="1" applyFont="1" applyFill="1" applyBorder="1" applyAlignment="1">
      <alignment wrapText="1"/>
    </xf>
    <xf numFmtId="42" fontId="13" fillId="2" borderId="5" xfId="0" applyNumberFormat="1" applyFont="1" applyFill="1" applyBorder="1" applyAlignment="1">
      <alignment wrapText="1"/>
    </xf>
    <xf numFmtId="0" fontId="11" fillId="2" borderId="3" xfId="0" applyFont="1" applyFill="1" applyBorder="1" applyAlignment="1">
      <alignment wrapText="1"/>
    </xf>
    <xf numFmtId="0" fontId="12" fillId="0" borderId="1" xfId="0" applyFont="1" applyBorder="1" applyAlignment="1">
      <alignment horizontal="left"/>
    </xf>
    <xf numFmtId="42" fontId="14" fillId="0" borderId="1" xfId="1" applyNumberFormat="1" applyFont="1" applyFill="1" applyBorder="1"/>
    <xf numFmtId="42" fontId="14" fillId="5" borderId="1" xfId="1" applyNumberFormat="1" applyFont="1" applyFill="1" applyBorder="1"/>
    <xf numFmtId="9" fontId="12" fillId="0" borderId="1" xfId="2" applyFont="1" applyFill="1" applyBorder="1"/>
    <xf numFmtId="44" fontId="15" fillId="0" borderId="0" xfId="0" applyNumberFormat="1" applyFont="1"/>
    <xf numFmtId="42" fontId="12" fillId="0" borderId="1" xfId="1" applyNumberFormat="1" applyFont="1" applyFill="1" applyBorder="1"/>
    <xf numFmtId="44" fontId="16" fillId="0" borderId="0" xfId="0" applyNumberFormat="1" applyFont="1"/>
    <xf numFmtId="0" fontId="12" fillId="0" borderId="1" xfId="0" applyFont="1" applyBorder="1"/>
    <xf numFmtId="42" fontId="12" fillId="0" borderId="1" xfId="1" applyNumberFormat="1" applyFont="1" applyBorder="1"/>
    <xf numFmtId="0" fontId="12" fillId="4" borderId="1" xfId="0" applyFont="1" applyFill="1" applyBorder="1"/>
    <xf numFmtId="42" fontId="14" fillId="4" borderId="1" xfId="1" applyNumberFormat="1" applyFont="1" applyFill="1" applyBorder="1"/>
    <xf numFmtId="0" fontId="11" fillId="4" borderId="1" xfId="0" applyFont="1" applyFill="1" applyBorder="1"/>
    <xf numFmtId="42" fontId="11" fillId="4" borderId="1" xfId="1" applyNumberFormat="1" applyFont="1" applyFill="1" applyBorder="1"/>
    <xf numFmtId="42" fontId="13" fillId="4" borderId="1" xfId="1" applyNumberFormat="1" applyFont="1" applyFill="1" applyBorder="1"/>
    <xf numFmtId="9" fontId="12" fillId="4" borderId="1" xfId="2" applyFont="1" applyFill="1" applyBorder="1"/>
    <xf numFmtId="0" fontId="15" fillId="0" borderId="0" xfId="0" applyFont="1"/>
    <xf numFmtId="0" fontId="12" fillId="3" borderId="5" xfId="0" applyFont="1" applyFill="1" applyBorder="1"/>
    <xf numFmtId="42" fontId="12" fillId="3" borderId="5" xfId="1" applyNumberFormat="1" applyFont="1" applyFill="1" applyBorder="1"/>
    <xf numFmtId="42" fontId="14" fillId="0" borderId="5" xfId="1" applyNumberFormat="1" applyFont="1" applyFill="1" applyBorder="1"/>
    <xf numFmtId="9" fontId="12" fillId="3" borderId="5" xfId="2" applyFont="1" applyFill="1" applyBorder="1"/>
    <xf numFmtId="0" fontId="12" fillId="3" borderId="0" xfId="0" applyFont="1" applyFill="1"/>
    <xf numFmtId="42" fontId="11" fillId="4" borderId="5" xfId="0" applyNumberFormat="1" applyFont="1" applyFill="1" applyBorder="1"/>
    <xf numFmtId="42" fontId="13" fillId="4" borderId="5" xfId="0" applyNumberFormat="1" applyFont="1" applyFill="1" applyBorder="1"/>
    <xf numFmtId="0" fontId="11" fillId="4" borderId="3" xfId="0" applyFont="1" applyFill="1" applyBorder="1"/>
    <xf numFmtId="42" fontId="12" fillId="0" borderId="1" xfId="1" applyNumberFormat="1" applyFont="1" applyBorder="1" applyAlignment="1">
      <alignment horizontal="center"/>
    </xf>
    <xf numFmtId="42" fontId="14" fillId="0" borderId="1" xfId="1" applyNumberFormat="1" applyFont="1" applyFill="1" applyBorder="1" applyAlignment="1">
      <alignment horizontal="center"/>
    </xf>
    <xf numFmtId="9" fontId="12" fillId="0" borderId="1" xfId="2" applyFont="1" applyBorder="1"/>
    <xf numFmtId="9" fontId="12" fillId="0" borderId="0" xfId="2" applyFont="1"/>
    <xf numFmtId="0" fontId="12" fillId="4" borderId="1" xfId="0" applyFont="1" applyFill="1" applyBorder="1" applyAlignment="1">
      <alignment horizontal="left" indent="3"/>
    </xf>
    <xf numFmtId="42" fontId="12" fillId="4" borderId="1" xfId="1" applyNumberFormat="1" applyFont="1" applyFill="1" applyBorder="1"/>
    <xf numFmtId="0" fontId="12" fillId="4" borderId="0" xfId="0" applyFont="1" applyFill="1" applyAlignment="1">
      <alignment horizontal="left" indent="3"/>
    </xf>
    <xf numFmtId="0" fontId="12" fillId="4" borderId="0" xfId="0" applyFont="1" applyFill="1" applyAlignment="1">
      <alignment horizontal="left" indent="4"/>
    </xf>
    <xf numFmtId="0" fontId="12" fillId="4" borderId="1" xfId="0" applyFont="1" applyFill="1" applyBorder="1" applyAlignment="1">
      <alignment horizontal="left" indent="4"/>
    </xf>
    <xf numFmtId="42" fontId="12" fillId="4" borderId="1" xfId="0" applyNumberFormat="1" applyFont="1" applyFill="1" applyBorder="1"/>
    <xf numFmtId="42" fontId="14" fillId="4" borderId="1" xfId="0" applyNumberFormat="1" applyFont="1" applyFill="1" applyBorder="1"/>
    <xf numFmtId="42" fontId="12" fillId="0" borderId="1" xfId="0" applyNumberFormat="1" applyFont="1" applyBorder="1"/>
    <xf numFmtId="42" fontId="14" fillId="0" borderId="1" xfId="0" applyNumberFormat="1" applyFont="1" applyBorder="1"/>
    <xf numFmtId="0" fontId="11" fillId="4" borderId="1" xfId="0" applyFont="1" applyFill="1" applyBorder="1" applyAlignment="1">
      <alignment horizontal="left"/>
    </xf>
    <xf numFmtId="0" fontId="11" fillId="0" borderId="7" xfId="0" applyFont="1" applyBorder="1" applyAlignment="1">
      <alignment horizontal="left"/>
    </xf>
    <xf numFmtId="42" fontId="11" fillId="0" borderId="7" xfId="1" applyNumberFormat="1" applyFont="1" applyBorder="1"/>
    <xf numFmtId="42" fontId="13" fillId="0" borderId="7" xfId="1" applyNumberFormat="1" applyFont="1" applyFill="1" applyBorder="1"/>
    <xf numFmtId="9" fontId="12" fillId="0" borderId="7" xfId="2" applyFont="1" applyBorder="1"/>
    <xf numFmtId="9" fontId="15" fillId="0" borderId="0" xfId="2" applyFont="1"/>
    <xf numFmtId="0" fontId="11" fillId="0" borderId="6" xfId="0" applyFont="1" applyBorder="1" applyAlignment="1">
      <alignment horizontal="left"/>
    </xf>
    <xf numFmtId="42" fontId="11" fillId="0" borderId="6" xfId="1" applyNumberFormat="1" applyFont="1" applyBorder="1"/>
    <xf numFmtId="42" fontId="13" fillId="0" borderId="6" xfId="1" applyNumberFormat="1" applyFont="1" applyFill="1" applyBorder="1"/>
    <xf numFmtId="9" fontId="12" fillId="0" borderId="6" xfId="2" applyFont="1" applyBorder="1"/>
    <xf numFmtId="0" fontId="11" fillId="2" borderId="4" xfId="0" applyFont="1" applyFill="1" applyBorder="1"/>
    <xf numFmtId="42" fontId="11" fillId="2" borderId="5" xfId="0" applyNumberFormat="1" applyFont="1" applyFill="1" applyBorder="1"/>
    <xf numFmtId="42" fontId="13" fillId="2" borderId="5" xfId="0" applyNumberFormat="1" applyFont="1" applyFill="1" applyBorder="1"/>
    <xf numFmtId="0" fontId="11" fillId="2" borderId="3" xfId="0" applyFont="1" applyFill="1" applyBorder="1"/>
    <xf numFmtId="0" fontId="12" fillId="0" borderId="4" xfId="0" applyFont="1" applyBorder="1"/>
    <xf numFmtId="42" fontId="14" fillId="7" borderId="1" xfId="1" applyNumberFormat="1" applyFont="1" applyFill="1" applyBorder="1"/>
    <xf numFmtId="0" fontId="12" fillId="0" borderId="4" xfId="0" applyFont="1" applyBorder="1" applyAlignment="1">
      <alignment horizontal="left"/>
    </xf>
    <xf numFmtId="0" fontId="11" fillId="2" borderId="1" xfId="0" applyFont="1" applyFill="1" applyBorder="1"/>
    <xf numFmtId="42" fontId="12" fillId="2" borderId="1" xfId="1" applyNumberFormat="1" applyFont="1" applyFill="1" applyBorder="1"/>
    <xf numFmtId="42" fontId="14" fillId="2" borderId="1" xfId="1" applyNumberFormat="1" applyFont="1" applyFill="1" applyBorder="1"/>
    <xf numFmtId="0" fontId="11" fillId="3" borderId="5" xfId="0" applyFont="1" applyFill="1" applyBorder="1"/>
    <xf numFmtId="0" fontId="11" fillId="0" borderId="1" xfId="0" applyFont="1" applyBorder="1" applyAlignment="1">
      <alignment horizontal="left"/>
    </xf>
    <xf numFmtId="14" fontId="12" fillId="0" borderId="0" xfId="1" applyNumberFormat="1" applyFont="1"/>
    <xf numFmtId="42" fontId="12" fillId="0" borderId="0" xfId="1" applyNumberFormat="1" applyFont="1" applyBorder="1"/>
    <xf numFmtId="42" fontId="14" fillId="0" borderId="0" xfId="1" applyNumberFormat="1" applyFont="1" applyFill="1" applyBorder="1"/>
    <xf numFmtId="9" fontId="12" fillId="0" borderId="0" xfId="2" applyFont="1" applyBorder="1"/>
    <xf numFmtId="42" fontId="12" fillId="0" borderId="0" xfId="1" applyNumberFormat="1" applyFont="1"/>
    <xf numFmtId="42" fontId="14" fillId="0" borderId="0" xfId="1" applyNumberFormat="1" applyFont="1" applyFill="1"/>
    <xf numFmtId="0" fontId="1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4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</cellXfs>
  <cellStyles count="7">
    <cellStyle name="Currency" xfId="1" builtinId="4"/>
    <cellStyle name="Hyperlink" xfId="6" builtinId="8"/>
    <cellStyle name="Normal" xfId="0" builtinId="0"/>
    <cellStyle name="Normal 2" xfId="3" xr:uid="{00000000-0005-0000-0000-000002000000}"/>
    <cellStyle name="Normal 3" xfId="4" xr:uid="{00000000-0005-0000-0000-000003000000}"/>
    <cellStyle name="Normal 4" xfId="5" xr:uid="{00000000-0005-0000-0000-000004000000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39997558519241921"/>
  </sheetPr>
  <dimension ref="A1:K67"/>
  <sheetViews>
    <sheetView tabSelected="1" view="pageLayout" topLeftCell="A31" zoomScaleNormal="100" zoomScaleSheetLayoutView="100" workbookViewId="0">
      <selection activeCell="J50" sqref="J50"/>
    </sheetView>
  </sheetViews>
  <sheetFormatPr defaultColWidth="8.85546875" defaultRowHeight="15.75"/>
  <cols>
    <col min="1" max="1" width="34.7109375" style="58" bestFit="1" customWidth="1"/>
    <col min="2" max="3" width="13.85546875" style="132" customWidth="1"/>
    <col min="4" max="4" width="19.28515625" style="133" customWidth="1"/>
    <col min="5" max="5" width="7.5703125" style="96" hidden="1" customWidth="1"/>
    <col min="6" max="6" width="12.28515625" style="58" bestFit="1" customWidth="1"/>
    <col min="7" max="7" width="12.140625" style="58" bestFit="1" customWidth="1"/>
    <col min="8" max="9" width="8.85546875" style="58"/>
    <col min="10" max="10" width="10.28515625" style="58" customWidth="1"/>
    <col min="11" max="11" width="10.140625" style="58" bestFit="1" customWidth="1"/>
    <col min="12" max="16384" width="8.85546875" style="58"/>
  </cols>
  <sheetData>
    <row r="1" spans="1:11" ht="19.5" customHeight="1">
      <c r="A1" s="134" t="s">
        <v>0</v>
      </c>
      <c r="B1" s="134"/>
      <c r="C1" s="134"/>
      <c r="D1" s="134"/>
      <c r="E1" s="134"/>
    </row>
    <row r="2" spans="1:11" ht="35.25" customHeight="1">
      <c r="A2" s="59"/>
      <c r="B2" s="60" t="s">
        <v>1</v>
      </c>
      <c r="C2" s="60" t="s">
        <v>2</v>
      </c>
      <c r="D2" s="61" t="s">
        <v>3</v>
      </c>
      <c r="E2" s="62" t="s">
        <v>4</v>
      </c>
      <c r="F2" s="63"/>
      <c r="G2" s="64"/>
    </row>
    <row r="3" spans="1:11">
      <c r="A3" s="65" t="s">
        <v>5</v>
      </c>
      <c r="B3" s="66"/>
      <c r="C3" s="66"/>
      <c r="D3" s="67"/>
      <c r="E3" s="68"/>
    </row>
    <row r="4" spans="1:11">
      <c r="A4" s="69" t="s">
        <v>6</v>
      </c>
      <c r="B4" s="70">
        <v>171373</v>
      </c>
      <c r="C4" s="70">
        <v>171373</v>
      </c>
      <c r="D4" s="71">
        <v>178433</v>
      </c>
      <c r="E4" s="72">
        <f>+(D4-B4)/B4</f>
        <v>4.1196687926336122E-2</v>
      </c>
      <c r="F4" s="73" t="s">
        <v>7</v>
      </c>
      <c r="G4" s="64"/>
      <c r="H4" s="58" t="s">
        <v>8</v>
      </c>
    </row>
    <row r="5" spans="1:11">
      <c r="A5" s="69" t="s">
        <v>9</v>
      </c>
      <c r="B5" s="74">
        <v>0</v>
      </c>
      <c r="C5" s="74"/>
      <c r="D5" s="70">
        <f>-D52</f>
        <v>0</v>
      </c>
      <c r="E5" s="72"/>
      <c r="F5" s="75"/>
      <c r="G5" s="64"/>
    </row>
    <row r="6" spans="1:11">
      <c r="A6" s="69" t="s">
        <v>10</v>
      </c>
      <c r="B6" s="74">
        <v>0</v>
      </c>
      <c r="C6" s="74"/>
      <c r="D6" s="70">
        <v>0</v>
      </c>
      <c r="E6" s="72"/>
      <c r="F6" s="75"/>
    </row>
    <row r="7" spans="1:11">
      <c r="A7" s="76" t="s">
        <v>11</v>
      </c>
      <c r="B7" s="70">
        <v>100</v>
      </c>
      <c r="C7" s="77">
        <v>72</v>
      </c>
      <c r="D7" s="70">
        <v>200</v>
      </c>
      <c r="E7" s="72">
        <f t="shared" ref="E7:E15" si="0">+(D7-B7)/B7</f>
        <v>1</v>
      </c>
      <c r="F7" s="75"/>
    </row>
    <row r="8" spans="1:11">
      <c r="A8" s="76" t="s">
        <v>12</v>
      </c>
      <c r="B8" s="77">
        <f>SUM(B9:B11)</f>
        <v>7500</v>
      </c>
      <c r="C8" s="70">
        <v>6785</v>
      </c>
      <c r="D8" s="70">
        <f>SUM(D9:D11)</f>
        <v>23000</v>
      </c>
      <c r="E8" s="72">
        <f t="shared" si="0"/>
        <v>2.0666666666666669</v>
      </c>
      <c r="F8" s="73" t="s">
        <v>13</v>
      </c>
    </row>
    <row r="9" spans="1:11">
      <c r="A9" s="78" t="s">
        <v>14</v>
      </c>
      <c r="B9" s="79">
        <v>3000</v>
      </c>
      <c r="C9" s="79">
        <v>660</v>
      </c>
      <c r="D9" s="79">
        <v>2000</v>
      </c>
      <c r="E9" s="72">
        <f t="shared" si="0"/>
        <v>-0.33333333333333331</v>
      </c>
      <c r="F9" s="73" t="s">
        <v>15</v>
      </c>
    </row>
    <row r="10" spans="1:11">
      <c r="A10" s="78" t="s">
        <v>16</v>
      </c>
      <c r="B10" s="79">
        <v>4000</v>
      </c>
      <c r="C10" s="79">
        <v>1400</v>
      </c>
      <c r="D10" s="79">
        <v>4000</v>
      </c>
      <c r="E10" s="72">
        <f t="shared" si="0"/>
        <v>0</v>
      </c>
      <c r="F10" s="73" t="s">
        <v>15</v>
      </c>
    </row>
    <row r="11" spans="1:11" ht="15" customHeight="1">
      <c r="A11" s="78" t="s">
        <v>17</v>
      </c>
      <c r="B11" s="79">
        <v>500</v>
      </c>
      <c r="C11" s="79">
        <v>630</v>
      </c>
      <c r="D11" s="79">
        <v>17000</v>
      </c>
      <c r="E11" s="72">
        <f t="shared" si="0"/>
        <v>33</v>
      </c>
      <c r="F11" s="73" t="s">
        <v>15</v>
      </c>
      <c r="K11" s="58" t="s">
        <v>18</v>
      </c>
    </row>
    <row r="12" spans="1:11">
      <c r="A12" s="76" t="s">
        <v>19</v>
      </c>
      <c r="B12" s="70">
        <v>1382</v>
      </c>
      <c r="C12" s="70">
        <v>1434</v>
      </c>
      <c r="D12" s="70">
        <v>1500</v>
      </c>
      <c r="E12" s="72">
        <f t="shared" si="0"/>
        <v>8.5383502170766998E-2</v>
      </c>
      <c r="F12" s="73" t="s">
        <v>20</v>
      </c>
    </row>
    <row r="13" spans="1:11">
      <c r="A13" s="76" t="s">
        <v>21</v>
      </c>
      <c r="B13" s="77">
        <v>250</v>
      </c>
      <c r="C13" s="77"/>
      <c r="D13" s="70">
        <v>250</v>
      </c>
      <c r="E13" s="72">
        <f t="shared" si="0"/>
        <v>0</v>
      </c>
      <c r="F13" s="73" t="s">
        <v>22</v>
      </c>
    </row>
    <row r="14" spans="1:11">
      <c r="A14" s="76" t="s">
        <v>23</v>
      </c>
      <c r="B14" s="77">
        <v>300</v>
      </c>
      <c r="C14" s="77">
        <v>752</v>
      </c>
      <c r="D14" s="70">
        <v>2000</v>
      </c>
      <c r="E14" s="72">
        <f t="shared" si="0"/>
        <v>5.666666666666667</v>
      </c>
      <c r="F14" s="73" t="s">
        <v>24</v>
      </c>
    </row>
    <row r="15" spans="1:11">
      <c r="A15" s="80" t="s">
        <v>25</v>
      </c>
      <c r="B15" s="81">
        <f>SUM(B4:B8)+SUM(B12:B14)</f>
        <v>180905</v>
      </c>
      <c r="C15" s="82">
        <f>SUM(C4:C8)+SUM(C12:C14)</f>
        <v>180416</v>
      </c>
      <c r="D15" s="82">
        <f>SUM(D4:D8)+SUM(D12:D14)</f>
        <v>205383</v>
      </c>
      <c r="E15" s="83">
        <f t="shared" si="0"/>
        <v>0.13530858738011664</v>
      </c>
      <c r="F15" s="84"/>
    </row>
    <row r="16" spans="1:11" s="89" customFormat="1">
      <c r="A16" s="85"/>
      <c r="B16" s="86"/>
      <c r="C16" s="86"/>
      <c r="D16" s="87"/>
      <c r="E16" s="88"/>
    </row>
    <row r="17" spans="1:8">
      <c r="A17" s="65" t="s">
        <v>26</v>
      </c>
      <c r="B17" s="90"/>
      <c r="C17" s="90"/>
      <c r="D17" s="91"/>
      <c r="E17" s="92"/>
    </row>
    <row r="18" spans="1:8">
      <c r="A18" s="69" t="s">
        <v>27</v>
      </c>
      <c r="B18" s="93">
        <v>106671</v>
      </c>
      <c r="C18" s="93">
        <v>98007</v>
      </c>
      <c r="D18" s="94">
        <v>133740</v>
      </c>
      <c r="E18" s="95">
        <f>+(D18-B18)/B18</f>
        <v>0.25376156593638383</v>
      </c>
      <c r="F18" s="73" t="s">
        <v>28</v>
      </c>
      <c r="H18" s="96"/>
    </row>
    <row r="19" spans="1:8">
      <c r="A19" s="69" t="s">
        <v>29</v>
      </c>
      <c r="B19" s="77">
        <v>10171</v>
      </c>
      <c r="C19" s="77">
        <v>8916</v>
      </c>
      <c r="D19" s="70">
        <v>9724</v>
      </c>
      <c r="E19" s="95">
        <f>+(D19-B19)/B19</f>
        <v>-4.3948480975321995E-2</v>
      </c>
      <c r="F19" s="73" t="s">
        <v>28</v>
      </c>
    </row>
    <row r="20" spans="1:8">
      <c r="A20" s="69" t="s">
        <v>30</v>
      </c>
      <c r="B20" s="77">
        <v>3200</v>
      </c>
      <c r="C20" s="74">
        <v>8715</v>
      </c>
      <c r="D20" s="70">
        <f>'Known Exp'!B4+'Known Exp'!B5</f>
        <v>4990</v>
      </c>
      <c r="E20" s="95"/>
      <c r="F20" s="73" t="s">
        <v>31</v>
      </c>
    </row>
    <row r="21" spans="1:8">
      <c r="A21" s="69" t="s">
        <v>32</v>
      </c>
      <c r="B21" s="74">
        <v>17840</v>
      </c>
      <c r="C21" s="74">
        <v>14008</v>
      </c>
      <c r="D21" s="70">
        <v>18000</v>
      </c>
      <c r="E21" s="95">
        <f>+(D21-B21)/B21</f>
        <v>8.9686098654708519E-3</v>
      </c>
      <c r="F21" s="73" t="s">
        <v>33</v>
      </c>
    </row>
    <row r="22" spans="1:8" hidden="1">
      <c r="A22" s="97" t="s">
        <v>34</v>
      </c>
      <c r="B22" s="98"/>
      <c r="C22" s="98"/>
      <c r="D22" s="79"/>
      <c r="E22" s="72"/>
      <c r="F22" s="73"/>
    </row>
    <row r="23" spans="1:8" hidden="1">
      <c r="A23" s="97" t="s">
        <v>35</v>
      </c>
      <c r="B23" s="98"/>
      <c r="C23" s="98"/>
      <c r="D23" s="79"/>
      <c r="E23" s="72"/>
      <c r="F23" s="73"/>
    </row>
    <row r="24" spans="1:8" hidden="1">
      <c r="A24" s="99" t="s">
        <v>36</v>
      </c>
      <c r="B24" s="98"/>
      <c r="C24" s="98"/>
      <c r="D24" s="79"/>
      <c r="E24" s="72"/>
      <c r="F24" s="73"/>
    </row>
    <row r="25" spans="1:8">
      <c r="A25" s="76" t="s">
        <v>37</v>
      </c>
      <c r="B25" s="74">
        <f>SUM(B26:B29)</f>
        <v>11450</v>
      </c>
      <c r="C25" s="74">
        <v>7590</v>
      </c>
      <c r="D25" s="70">
        <f t="shared" ref="D25" si="1">SUM(D26:D29)</f>
        <v>10100</v>
      </c>
      <c r="E25" s="72"/>
      <c r="F25" s="73" t="s">
        <v>13</v>
      </c>
    </row>
    <row r="26" spans="1:8">
      <c r="A26" s="100" t="s">
        <v>38</v>
      </c>
      <c r="B26" s="98">
        <v>2375</v>
      </c>
      <c r="C26" s="98">
        <v>909</v>
      </c>
      <c r="D26" s="79">
        <v>1000</v>
      </c>
      <c r="E26" s="72"/>
      <c r="F26" s="73" t="s">
        <v>39</v>
      </c>
    </row>
    <row r="27" spans="1:8">
      <c r="A27" s="101" t="s">
        <v>40</v>
      </c>
      <c r="B27" s="98">
        <v>4500</v>
      </c>
      <c r="C27" s="98">
        <v>3094</v>
      </c>
      <c r="D27" s="79">
        <v>4500</v>
      </c>
      <c r="E27" s="72">
        <f>+(D27-B27)/B27</f>
        <v>0</v>
      </c>
      <c r="F27" s="73" t="s">
        <v>41</v>
      </c>
    </row>
    <row r="28" spans="1:8">
      <c r="A28" s="101" t="s">
        <v>42</v>
      </c>
      <c r="B28" s="102">
        <v>2200</v>
      </c>
      <c r="C28" s="102">
        <v>2315</v>
      </c>
      <c r="D28" s="103">
        <v>2100</v>
      </c>
      <c r="E28" s="95">
        <f>+(D28-B28)/B28</f>
        <v>-4.5454545454545456E-2</v>
      </c>
      <c r="F28" s="73" t="s">
        <v>43</v>
      </c>
    </row>
    <row r="29" spans="1:8">
      <c r="A29" s="101" t="s">
        <v>44</v>
      </c>
      <c r="B29" s="102">
        <v>2375</v>
      </c>
      <c r="C29" s="102">
        <v>3361</v>
      </c>
      <c r="D29" s="103">
        <v>2500</v>
      </c>
      <c r="E29" s="95"/>
      <c r="F29" s="73" t="s">
        <v>45</v>
      </c>
    </row>
    <row r="30" spans="1:8">
      <c r="A30" s="76" t="s">
        <v>46</v>
      </c>
      <c r="B30" s="74">
        <v>3200</v>
      </c>
      <c r="C30" s="74">
        <v>2413</v>
      </c>
      <c r="D30" s="70">
        <v>3000</v>
      </c>
      <c r="E30" s="72">
        <f>+(D30-B30)/B30</f>
        <v>-6.25E-2</v>
      </c>
      <c r="F30" s="73" t="s">
        <v>47</v>
      </c>
    </row>
    <row r="31" spans="1:8">
      <c r="A31" s="76" t="s">
        <v>48</v>
      </c>
      <c r="B31" s="74">
        <v>4160</v>
      </c>
      <c r="C31" s="74">
        <v>3116</v>
      </c>
      <c r="D31" s="70">
        <f>'Known Exp'!B19</f>
        <v>4680</v>
      </c>
      <c r="E31" s="72"/>
      <c r="F31" s="73" t="s">
        <v>49</v>
      </c>
    </row>
    <row r="32" spans="1:8">
      <c r="A32" s="76" t="s">
        <v>50</v>
      </c>
      <c r="B32" s="74"/>
      <c r="C32" s="74"/>
      <c r="D32" s="70">
        <v>150</v>
      </c>
      <c r="E32" s="72"/>
      <c r="F32" s="73" t="s">
        <v>51</v>
      </c>
    </row>
    <row r="33" spans="1:11">
      <c r="A33" s="76" t="s">
        <v>52</v>
      </c>
      <c r="B33" s="74">
        <v>1772</v>
      </c>
      <c r="C33" s="74">
        <v>1376</v>
      </c>
      <c r="D33" s="70">
        <v>1704</v>
      </c>
      <c r="E33" s="72">
        <f>+(D33-B33)/B33</f>
        <v>-3.8374717832957109E-2</v>
      </c>
      <c r="F33" s="73" t="s">
        <v>31</v>
      </c>
      <c r="G33" s="84"/>
    </row>
    <row r="34" spans="1:11">
      <c r="A34" s="76" t="s">
        <v>53</v>
      </c>
      <c r="B34" s="77">
        <v>600</v>
      </c>
      <c r="C34" s="77">
        <v>164</v>
      </c>
      <c r="D34" s="70">
        <v>500</v>
      </c>
      <c r="E34" s="95">
        <f>+(D34-B34)/B34</f>
        <v>-0.16666666666666666</v>
      </c>
      <c r="F34" s="73"/>
    </row>
    <row r="35" spans="1:11">
      <c r="A35" s="76" t="s">
        <v>54</v>
      </c>
      <c r="B35" s="74">
        <v>2600</v>
      </c>
      <c r="C35" s="74">
        <v>2302</v>
      </c>
      <c r="D35" s="70">
        <v>2500</v>
      </c>
      <c r="E35" s="72">
        <f>+(D35-B35)/B35</f>
        <v>-3.8461538461538464E-2</v>
      </c>
      <c r="F35" s="73" t="s">
        <v>55</v>
      </c>
    </row>
    <row r="36" spans="1:11">
      <c r="A36" s="76" t="s">
        <v>56</v>
      </c>
      <c r="B36" s="77">
        <v>600</v>
      </c>
      <c r="C36" s="77"/>
      <c r="D36" s="70">
        <v>2500</v>
      </c>
      <c r="E36" s="95">
        <f>+(D36-B36)/B36</f>
        <v>3.1666666666666665</v>
      </c>
      <c r="F36" s="73" t="s">
        <v>57</v>
      </c>
      <c r="J36" s="58" t="s">
        <v>58</v>
      </c>
    </row>
    <row r="37" spans="1:11">
      <c r="A37" s="76" t="s">
        <v>59</v>
      </c>
      <c r="B37" s="104">
        <v>2875</v>
      </c>
      <c r="C37" s="104">
        <v>622</v>
      </c>
      <c r="D37" s="105">
        <v>1500</v>
      </c>
      <c r="E37" s="72">
        <f>+(D38-B38)/B38</f>
        <v>-0.15288713910761154</v>
      </c>
      <c r="F37" s="73" t="s">
        <v>60</v>
      </c>
    </row>
    <row r="38" spans="1:11">
      <c r="A38" s="76" t="s">
        <v>61</v>
      </c>
      <c r="B38" s="74">
        <v>3048</v>
      </c>
      <c r="C38" s="74">
        <v>1956</v>
      </c>
      <c r="D38" s="70">
        <v>2582</v>
      </c>
      <c r="E38" s="72"/>
      <c r="F38" s="73" t="s">
        <v>31</v>
      </c>
      <c r="K38" s="64"/>
    </row>
    <row r="39" spans="1:11">
      <c r="A39" s="69" t="s">
        <v>62</v>
      </c>
      <c r="B39" s="74">
        <v>600</v>
      </c>
      <c r="C39" s="74">
        <v>3271</v>
      </c>
      <c r="D39" s="70">
        <v>3000</v>
      </c>
      <c r="E39" s="95">
        <f>+(D39-B39)/B39</f>
        <v>4</v>
      </c>
      <c r="F39" s="73" t="s">
        <v>63</v>
      </c>
      <c r="K39" s="64"/>
    </row>
    <row r="40" spans="1:11">
      <c r="A40" s="69" t="s">
        <v>64</v>
      </c>
      <c r="B40" s="74">
        <v>800</v>
      </c>
      <c r="C40" s="74">
        <v>1172</v>
      </c>
      <c r="D40" s="70">
        <v>2000</v>
      </c>
      <c r="E40" s="95">
        <f>+(D40-B40)/B40</f>
        <v>1.5</v>
      </c>
      <c r="F40" s="73"/>
    </row>
    <row r="41" spans="1:11">
      <c r="A41" s="69" t="s">
        <v>65</v>
      </c>
      <c r="B41" s="77">
        <v>600</v>
      </c>
      <c r="C41" s="77">
        <v>591</v>
      </c>
      <c r="D41" s="70">
        <v>600</v>
      </c>
      <c r="E41" s="95">
        <f>+(D41-B41)/B41</f>
        <v>0</v>
      </c>
      <c r="F41" s="73"/>
    </row>
    <row r="42" spans="1:11">
      <c r="A42" s="69" t="s">
        <v>66</v>
      </c>
      <c r="B42" s="74">
        <v>700</v>
      </c>
      <c r="C42" s="74">
        <v>139</v>
      </c>
      <c r="D42" s="70">
        <v>750</v>
      </c>
      <c r="E42" s="95">
        <f>+(D42-B42)/B42</f>
        <v>7.1428571428571425E-2</v>
      </c>
      <c r="F42" s="73" t="s">
        <v>31</v>
      </c>
    </row>
    <row r="43" spans="1:11">
      <c r="A43" s="69" t="s">
        <v>67</v>
      </c>
      <c r="B43" s="74">
        <v>3612</v>
      </c>
      <c r="C43" s="74">
        <v>3739</v>
      </c>
      <c r="D43" s="70">
        <v>4000</v>
      </c>
      <c r="E43" s="95">
        <f>+(D43-B43)/B43</f>
        <v>0.10741971207087486</v>
      </c>
      <c r="F43" s="73" t="s">
        <v>20</v>
      </c>
    </row>
    <row r="44" spans="1:11">
      <c r="A44" s="76" t="s">
        <v>68</v>
      </c>
      <c r="B44" s="74">
        <v>1615</v>
      </c>
      <c r="C44" s="74">
        <v>7062</v>
      </c>
      <c r="D44" s="70"/>
      <c r="E44" s="72"/>
      <c r="F44" s="73" t="s">
        <v>69</v>
      </c>
    </row>
    <row r="45" spans="1:11">
      <c r="A45" s="106" t="s">
        <v>70</v>
      </c>
      <c r="B45" s="98">
        <f>SUM(B30:B44)+B25+B21+B20+B19+B18</f>
        <v>176114</v>
      </c>
      <c r="C45" s="98">
        <f>SUM(C30:C44)+C25+C21+C20+C19+C18</f>
        <v>165159</v>
      </c>
      <c r="D45" s="79">
        <f>SUM(D30:D44)+D25+D21+D20+D19+D18</f>
        <v>206020</v>
      </c>
      <c r="E45" s="83">
        <f>+(D45-B45)/B45</f>
        <v>0.16981046367693653</v>
      </c>
    </row>
    <row r="46" spans="1:11">
      <c r="A46" s="107" t="s">
        <v>71</v>
      </c>
      <c r="B46" s="108">
        <f>B15-B45</f>
        <v>4791</v>
      </c>
      <c r="C46" s="108">
        <f>C15-C45</f>
        <v>15257</v>
      </c>
      <c r="D46" s="109">
        <f>+D15-D45</f>
        <v>-637</v>
      </c>
      <c r="E46" s="110"/>
      <c r="F46" s="111" t="s">
        <v>72</v>
      </c>
    </row>
    <row r="47" spans="1:11">
      <c r="A47" s="112"/>
      <c r="B47" s="113"/>
      <c r="C47" s="113"/>
      <c r="D47" s="114"/>
      <c r="E47" s="115"/>
      <c r="F47" s="58" t="s">
        <v>73</v>
      </c>
    </row>
    <row r="48" spans="1:11" ht="18" customHeight="1">
      <c r="A48" s="134"/>
      <c r="B48" s="134"/>
      <c r="C48" s="134"/>
      <c r="D48" s="134"/>
      <c r="E48" s="134"/>
    </row>
    <row r="49" spans="1:6" ht="24.75" customHeight="1">
      <c r="A49" s="59"/>
      <c r="B49" s="60"/>
      <c r="C49" s="60"/>
      <c r="D49" s="61"/>
      <c r="E49" s="62"/>
    </row>
    <row r="50" spans="1:6">
      <c r="A50" s="116"/>
      <c r="B50" s="117"/>
      <c r="C50" s="117"/>
      <c r="D50" s="118"/>
      <c r="E50" s="119"/>
    </row>
    <row r="51" spans="1:6">
      <c r="A51" s="120"/>
      <c r="B51" s="74"/>
      <c r="C51" s="74"/>
      <c r="D51" s="121"/>
      <c r="E51" s="72"/>
      <c r="F51" s="84"/>
    </row>
    <row r="52" spans="1:6">
      <c r="A52" s="120"/>
      <c r="B52" s="77"/>
      <c r="C52" s="77"/>
      <c r="D52" s="70"/>
      <c r="E52" s="95"/>
      <c r="F52" s="84"/>
    </row>
    <row r="53" spans="1:6">
      <c r="A53" s="122"/>
      <c r="B53" s="74"/>
      <c r="C53" s="74"/>
      <c r="D53" s="70"/>
      <c r="E53" s="95"/>
      <c r="F53" s="84"/>
    </row>
    <row r="54" spans="1:6">
      <c r="A54" s="122"/>
      <c r="B54" s="77"/>
      <c r="C54" s="77"/>
      <c r="D54" s="70"/>
      <c r="E54" s="95"/>
      <c r="F54" s="84"/>
    </row>
    <row r="55" spans="1:6">
      <c r="A55" s="76"/>
      <c r="B55" s="77"/>
      <c r="C55" s="77"/>
      <c r="D55" s="70"/>
      <c r="E55" s="95"/>
      <c r="F55" s="84"/>
    </row>
    <row r="56" spans="1:6">
      <c r="A56" s="123"/>
      <c r="B56" s="124"/>
      <c r="C56" s="124"/>
      <c r="D56" s="125"/>
      <c r="E56" s="83"/>
      <c r="F56" s="84"/>
    </row>
    <row r="57" spans="1:6">
      <c r="A57" s="126"/>
      <c r="B57" s="86"/>
      <c r="C57" s="86"/>
      <c r="D57" s="87"/>
      <c r="E57" s="88"/>
      <c r="F57" s="84"/>
    </row>
    <row r="58" spans="1:6">
      <c r="A58" s="116"/>
      <c r="B58" s="117"/>
      <c r="C58" s="117"/>
      <c r="D58" s="118"/>
      <c r="E58" s="119"/>
      <c r="F58" s="84"/>
    </row>
    <row r="59" spans="1:6">
      <c r="A59" s="69"/>
      <c r="B59" s="77"/>
      <c r="C59" s="77"/>
      <c r="D59" s="70"/>
      <c r="E59" s="95"/>
      <c r="F59" s="84"/>
    </row>
    <row r="60" spans="1:6">
      <c r="A60" s="69"/>
      <c r="B60" s="77"/>
      <c r="C60" s="77"/>
      <c r="D60" s="70"/>
      <c r="E60" s="95"/>
      <c r="F60" s="84"/>
    </row>
    <row r="61" spans="1:6" ht="22.5" customHeight="1">
      <c r="A61" s="69"/>
      <c r="B61" s="77"/>
      <c r="C61" s="77"/>
      <c r="D61" s="70"/>
      <c r="E61" s="95"/>
      <c r="F61" s="84"/>
    </row>
    <row r="62" spans="1:6">
      <c r="A62" s="69"/>
      <c r="B62" s="77"/>
      <c r="C62" s="77"/>
      <c r="D62" s="70"/>
      <c r="E62" s="95"/>
      <c r="F62" s="84"/>
    </row>
    <row r="63" spans="1:6">
      <c r="A63" s="69"/>
      <c r="B63" s="74"/>
      <c r="C63" s="74"/>
      <c r="D63" s="70"/>
      <c r="E63" s="72"/>
      <c r="F63" s="84"/>
    </row>
    <row r="64" spans="1:6">
      <c r="A64" s="69"/>
      <c r="B64" s="77"/>
      <c r="C64" s="77"/>
      <c r="D64" s="70"/>
      <c r="E64" s="95"/>
      <c r="F64" s="84"/>
    </row>
    <row r="65" spans="1:6">
      <c r="A65" s="106"/>
      <c r="B65" s="98"/>
      <c r="C65" s="98"/>
      <c r="D65" s="125"/>
      <c r="E65" s="83"/>
      <c r="F65" s="84"/>
    </row>
    <row r="66" spans="1:6" ht="15.6" customHeight="1">
      <c r="A66" s="127"/>
      <c r="B66" s="77"/>
      <c r="C66" s="77"/>
      <c r="D66" s="70"/>
      <c r="E66" s="95"/>
      <c r="F66" s="84"/>
    </row>
    <row r="67" spans="1:6" ht="13.15" customHeight="1">
      <c r="B67" s="128"/>
      <c r="C67" s="129"/>
      <c r="D67" s="130"/>
      <c r="E67" s="131"/>
    </row>
  </sheetData>
  <mergeCells count="2">
    <mergeCell ref="A1:E1"/>
    <mergeCell ref="A48:E48"/>
  </mergeCells>
  <pageMargins left="0.25" right="0.25" top="0.75" bottom="0.75" header="0.3" footer="0.3"/>
  <pageSetup scale="69" orientation="portrait" horizontalDpi="4294967293" r:id="rId1"/>
  <headerFooter>
    <oddHeader>&amp;C&amp;"-,Bold"&amp;14 2023 Budget Worksheet&amp;RMontour Falls Memorial Library</oddHeader>
    <oddFooter>&amp;L&amp;A&amp;R&amp;P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4"/>
  <sheetViews>
    <sheetView workbookViewId="0">
      <selection activeCell="B30" sqref="B30"/>
    </sheetView>
  </sheetViews>
  <sheetFormatPr defaultRowHeight="15"/>
  <cols>
    <col min="1" max="1" width="23.7109375" bestFit="1" customWidth="1"/>
    <col min="2" max="2" width="12.85546875" customWidth="1"/>
    <col min="3" max="3" width="37" bestFit="1" customWidth="1"/>
    <col min="4" max="4" width="21.28515625" customWidth="1"/>
  </cols>
  <sheetData>
    <row r="1" spans="1:4">
      <c r="A1" s="13" t="s">
        <v>74</v>
      </c>
    </row>
    <row r="3" spans="1:4" ht="17.25">
      <c r="A3" s="48" t="s">
        <v>75</v>
      </c>
      <c r="B3" s="49" t="s">
        <v>76</v>
      </c>
      <c r="C3" s="50"/>
    </row>
    <row r="4" spans="1:4">
      <c r="A4" s="50" t="s">
        <v>77</v>
      </c>
      <c r="B4" s="51">
        <v>2733</v>
      </c>
      <c r="C4" s="52" t="s">
        <v>78</v>
      </c>
      <c r="D4" s="41"/>
    </row>
    <row r="5" spans="1:4">
      <c r="A5" s="50" t="s">
        <v>79</v>
      </c>
      <c r="B5" s="53">
        <v>2257</v>
      </c>
      <c r="C5" s="50" t="s">
        <v>80</v>
      </c>
    </row>
    <row r="6" spans="1:4">
      <c r="A6" s="50"/>
      <c r="B6" s="54"/>
      <c r="C6" s="50"/>
    </row>
    <row r="7" spans="1:4">
      <c r="A7" s="50"/>
      <c r="B7" s="54"/>
      <c r="C7" s="50"/>
    </row>
    <row r="8" spans="1:4" ht="45.75">
      <c r="A8" s="55" t="s">
        <v>81</v>
      </c>
      <c r="B8" s="55">
        <v>3216.29</v>
      </c>
      <c r="C8" s="57" t="s">
        <v>82</v>
      </c>
    </row>
    <row r="9" spans="1:4">
      <c r="A9" s="50"/>
      <c r="B9" s="50"/>
      <c r="C9" s="50"/>
    </row>
    <row r="10" spans="1:4">
      <c r="A10" s="50"/>
      <c r="B10" s="50"/>
      <c r="C10" s="50"/>
    </row>
    <row r="11" spans="1:4">
      <c r="A11" s="48" t="s">
        <v>83</v>
      </c>
      <c r="B11" s="48">
        <f>SUM(B12:B17)</f>
        <v>2549</v>
      </c>
      <c r="C11" s="50"/>
    </row>
    <row r="12" spans="1:4">
      <c r="A12" s="50" t="s">
        <v>84</v>
      </c>
      <c r="B12" s="50">
        <v>72</v>
      </c>
      <c r="C12" s="50"/>
    </row>
    <row r="13" spans="1:4">
      <c r="A13" s="50" t="s">
        <v>85</v>
      </c>
      <c r="B13" s="50">
        <v>63</v>
      </c>
      <c r="C13" s="50"/>
    </row>
    <row r="14" spans="1:4">
      <c r="A14" s="50" t="s">
        <v>86</v>
      </c>
      <c r="B14" s="50">
        <v>120</v>
      </c>
      <c r="C14" s="50" t="s">
        <v>87</v>
      </c>
    </row>
    <row r="15" spans="1:4">
      <c r="A15" s="50" t="s">
        <v>88</v>
      </c>
      <c r="B15" s="50">
        <v>2000</v>
      </c>
      <c r="C15" s="50" t="s">
        <v>89</v>
      </c>
    </row>
    <row r="16" spans="1:4">
      <c r="A16" s="50" t="s">
        <v>90</v>
      </c>
      <c r="B16" s="50">
        <v>119</v>
      </c>
      <c r="C16" s="50"/>
    </row>
    <row r="17" spans="1:3">
      <c r="A17" s="50" t="s">
        <v>91</v>
      </c>
      <c r="B17" s="50">
        <v>175</v>
      </c>
      <c r="C17" s="50"/>
    </row>
    <row r="18" spans="1:3">
      <c r="A18" s="50"/>
      <c r="B18" s="50"/>
      <c r="C18" s="50"/>
    </row>
    <row r="19" spans="1:3">
      <c r="A19" s="56" t="s">
        <v>48</v>
      </c>
      <c r="B19" s="56">
        <f>52*90</f>
        <v>4680</v>
      </c>
      <c r="C19" s="50" t="s">
        <v>92</v>
      </c>
    </row>
    <row r="20" spans="1:3">
      <c r="A20" s="50" t="s">
        <v>50</v>
      </c>
      <c r="B20" s="50">
        <v>150</v>
      </c>
      <c r="C20" s="50" t="s">
        <v>93</v>
      </c>
    </row>
    <row r="21" spans="1:3">
      <c r="A21" s="50"/>
      <c r="B21" s="50"/>
      <c r="C21" s="50"/>
    </row>
    <row r="22" spans="1:3">
      <c r="A22" s="50"/>
      <c r="B22" s="50"/>
      <c r="C22" s="50"/>
    </row>
    <row r="23" spans="1:3">
      <c r="A23" s="48" t="s">
        <v>94</v>
      </c>
      <c r="B23" s="48">
        <f>(B24+B25)</f>
        <v>1704</v>
      </c>
      <c r="C23" s="50"/>
    </row>
    <row r="24" spans="1:3">
      <c r="A24" s="50" t="s">
        <v>95</v>
      </c>
      <c r="B24" s="50">
        <f>85*12</f>
        <v>1020</v>
      </c>
      <c r="C24" s="50" t="s">
        <v>96</v>
      </c>
    </row>
    <row r="25" spans="1:3">
      <c r="A25" s="50" t="s">
        <v>97</v>
      </c>
      <c r="B25" s="50">
        <f>57*12</f>
        <v>684</v>
      </c>
      <c r="C25" s="50" t="s">
        <v>98</v>
      </c>
    </row>
    <row r="26" spans="1:3">
      <c r="A26" s="50"/>
      <c r="B26" s="50"/>
      <c r="C26" s="50"/>
    </row>
    <row r="27" spans="1:3" ht="60.75">
      <c r="A27" s="48" t="s">
        <v>40</v>
      </c>
      <c r="B27" s="48">
        <v>4500</v>
      </c>
      <c r="C27" s="57" t="s">
        <v>99</v>
      </c>
    </row>
    <row r="28" spans="1:3">
      <c r="A28" s="50"/>
      <c r="B28" s="50"/>
      <c r="C28" s="50"/>
    </row>
    <row r="29" spans="1:3">
      <c r="A29" s="48" t="s">
        <v>100</v>
      </c>
      <c r="B29" s="48">
        <f>SUM(B30:B36)</f>
        <v>2582.4</v>
      </c>
      <c r="C29" s="50"/>
    </row>
    <row r="30" spans="1:3">
      <c r="A30" s="50" t="s">
        <v>101</v>
      </c>
      <c r="B30" s="50">
        <v>468</v>
      </c>
      <c r="C30" s="50" t="s">
        <v>102</v>
      </c>
    </row>
    <row r="31" spans="1:3">
      <c r="A31" s="50" t="s">
        <v>103</v>
      </c>
      <c r="B31" s="50">
        <f>(83)*12</f>
        <v>996</v>
      </c>
      <c r="C31" s="50"/>
    </row>
    <row r="32" spans="1:3">
      <c r="A32" s="50" t="s">
        <v>104</v>
      </c>
      <c r="B32" s="50">
        <v>600</v>
      </c>
      <c r="C32" s="50" t="s">
        <v>105</v>
      </c>
    </row>
    <row r="33" spans="1:3">
      <c r="A33" s="50" t="s">
        <v>106</v>
      </c>
      <c r="B33" s="50">
        <f>43.2*12</f>
        <v>518.40000000000009</v>
      </c>
      <c r="C33" s="50"/>
    </row>
    <row r="34" spans="1:3">
      <c r="A34" s="50" t="s">
        <v>107</v>
      </c>
      <c r="B34" s="50">
        <v>0</v>
      </c>
      <c r="C34" s="50" t="s">
        <v>108</v>
      </c>
    </row>
  </sheetData>
  <pageMargins left="0.7" right="0.7" top="0.75" bottom="0.75" header="0.3" footer="0.3"/>
  <pageSetup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D633F-3D63-4B4D-A0A0-48BC93F53B6D}">
  <sheetPr>
    <tabColor rgb="FFFF0000"/>
  </sheetPr>
  <dimension ref="A1:O56"/>
  <sheetViews>
    <sheetView view="pageLayout" zoomScaleNormal="100" zoomScaleSheetLayoutView="100" workbookViewId="0">
      <selection activeCell="G15" sqref="G15"/>
    </sheetView>
  </sheetViews>
  <sheetFormatPr defaultColWidth="9.140625" defaultRowHeight="15"/>
  <cols>
    <col min="1" max="1" width="25.28515625" customWidth="1"/>
    <col min="2" max="2" width="9.140625" style="10" customWidth="1"/>
    <col min="3" max="3" width="9.5703125" customWidth="1"/>
    <col min="4" max="4" width="7.140625" customWidth="1"/>
    <col min="5" max="5" width="14" customWidth="1"/>
    <col min="6" max="6" width="10.140625" customWidth="1"/>
    <col min="7" max="7" width="10.5703125" customWidth="1"/>
    <col min="8" max="8" width="11.85546875" customWidth="1"/>
    <col min="9" max="9" width="12.42578125" customWidth="1"/>
    <col min="10" max="11" width="13.42578125" style="11" customWidth="1"/>
    <col min="12" max="12" width="10.28515625" style="11" customWidth="1"/>
    <col min="13" max="13" width="4.140625" style="11" customWidth="1"/>
    <col min="14" max="14" width="4.5703125" style="11" customWidth="1"/>
    <col min="15" max="15" width="12.85546875" bestFit="1" customWidth="1"/>
  </cols>
  <sheetData>
    <row r="1" spans="1:14">
      <c r="A1" s="13" t="s">
        <v>109</v>
      </c>
    </row>
    <row r="2" spans="1:14" ht="27" customHeight="1">
      <c r="A2" s="1"/>
      <c r="B2" s="4" t="s">
        <v>110</v>
      </c>
      <c r="C2" s="2" t="s">
        <v>111</v>
      </c>
      <c r="D2" s="2" t="s">
        <v>112</v>
      </c>
      <c r="E2" s="26" t="s">
        <v>113</v>
      </c>
      <c r="F2" s="26" t="s">
        <v>114</v>
      </c>
      <c r="G2" s="27" t="s">
        <v>115</v>
      </c>
      <c r="H2" s="26" t="s">
        <v>116</v>
      </c>
      <c r="I2" s="26" t="s">
        <v>117</v>
      </c>
      <c r="J2" s="26" t="s">
        <v>118</v>
      </c>
      <c r="K2" s="26" t="s">
        <v>119</v>
      </c>
      <c r="L2" s="16"/>
    </row>
    <row r="3" spans="1:14" ht="15" customHeight="1">
      <c r="A3" s="1" t="s">
        <v>120</v>
      </c>
      <c r="B3" s="42">
        <v>25</v>
      </c>
      <c r="C3" s="1">
        <v>40</v>
      </c>
      <c r="D3" s="1">
        <v>52</v>
      </c>
      <c r="E3" s="42">
        <f>B3*C3*D3</f>
        <v>52000</v>
      </c>
      <c r="F3" s="44">
        <f>0.062*E3</f>
        <v>3224</v>
      </c>
      <c r="G3" s="45">
        <f>0.0145*E3</f>
        <v>754</v>
      </c>
      <c r="H3" s="43">
        <f>IF(E3&gt;12300, (0.03125*12300),E3*0.03125)</f>
        <v>384.375</v>
      </c>
      <c r="I3" s="43">
        <f>IF(E3&gt;12300, (0.00075*12300),E3*0.00075)</f>
        <v>9.2249999999999996</v>
      </c>
      <c r="J3" s="43">
        <f>SUM(F3:I3)</f>
        <v>4371.6000000000004</v>
      </c>
      <c r="K3" s="43">
        <f t="shared" ref="K3:K9" si="0">E3+J3</f>
        <v>56371.6</v>
      </c>
      <c r="L3" s="15"/>
    </row>
    <row r="4" spans="1:14" ht="15.6" customHeight="1">
      <c r="A4" s="1" t="s">
        <v>121</v>
      </c>
      <c r="B4" s="42">
        <v>18</v>
      </c>
      <c r="C4" s="1">
        <v>33</v>
      </c>
      <c r="D4" s="1">
        <v>52</v>
      </c>
      <c r="E4" s="42">
        <f t="shared" ref="E4:E8" si="1">+B4*C4*D4</f>
        <v>30888</v>
      </c>
      <c r="F4" s="44">
        <f t="shared" ref="F4:F8" si="2">0.062*E4</f>
        <v>1915.056</v>
      </c>
      <c r="G4" s="45">
        <f t="shared" ref="G4:G8" si="3">0.0145*E4</f>
        <v>447.87600000000003</v>
      </c>
      <c r="H4" s="43">
        <f>IF(E4&gt;12300, (0.03125*12300),E4*0.03125)</f>
        <v>384.375</v>
      </c>
      <c r="I4" s="43">
        <f t="shared" ref="I4:I7" si="4">IF(E4&gt;12300, (0.00075*12300),E4*0.00075)</f>
        <v>9.2249999999999996</v>
      </c>
      <c r="J4" s="43">
        <f t="shared" ref="J4:J8" si="5">SUM(F4:I4)</f>
        <v>2756.5320000000002</v>
      </c>
      <c r="K4" s="43">
        <f t="shared" si="0"/>
        <v>33644.531999999999</v>
      </c>
      <c r="L4" s="15"/>
    </row>
    <row r="5" spans="1:14" ht="16.149999999999999" customHeight="1">
      <c r="A5" s="1" t="s">
        <v>122</v>
      </c>
      <c r="B5" s="42">
        <v>18</v>
      </c>
      <c r="C5" s="1">
        <v>12</v>
      </c>
      <c r="D5" s="1">
        <v>52</v>
      </c>
      <c r="E5" s="42">
        <f t="shared" si="1"/>
        <v>11232</v>
      </c>
      <c r="F5" s="44">
        <f t="shared" si="2"/>
        <v>696.38400000000001</v>
      </c>
      <c r="G5" s="45">
        <f t="shared" si="3"/>
        <v>162.864</v>
      </c>
      <c r="H5" s="43">
        <f>IF(E5&gt;12300, (0.03125*12300),E5*0.03125)</f>
        <v>351</v>
      </c>
      <c r="I5" s="43">
        <f t="shared" si="4"/>
        <v>8.4239999999999995</v>
      </c>
      <c r="J5" s="43">
        <f t="shared" si="5"/>
        <v>1218.672</v>
      </c>
      <c r="K5" s="43">
        <f t="shared" si="0"/>
        <v>12450.672</v>
      </c>
      <c r="L5" s="15"/>
    </row>
    <row r="6" spans="1:14" ht="16.899999999999999" customHeight="1">
      <c r="A6" s="1" t="s">
        <v>123</v>
      </c>
      <c r="B6" s="42">
        <v>16</v>
      </c>
      <c r="C6" s="1">
        <v>32</v>
      </c>
      <c r="D6" s="1">
        <v>52</v>
      </c>
      <c r="E6" s="42">
        <f t="shared" si="1"/>
        <v>26624</v>
      </c>
      <c r="F6" s="44">
        <f t="shared" si="2"/>
        <v>1650.6880000000001</v>
      </c>
      <c r="G6" s="45">
        <f t="shared" si="3"/>
        <v>386.048</v>
      </c>
      <c r="H6" s="43">
        <f>IF(E6&gt;12300, (0.03125*12300),E6*0.03125)</f>
        <v>384.375</v>
      </c>
      <c r="I6" s="43">
        <f t="shared" si="4"/>
        <v>9.2249999999999996</v>
      </c>
      <c r="J6" s="43">
        <f t="shared" si="5"/>
        <v>2430.3359999999998</v>
      </c>
      <c r="K6" s="43">
        <f t="shared" si="0"/>
        <v>29054.335999999999</v>
      </c>
      <c r="L6" s="36"/>
    </row>
    <row r="7" spans="1:14" ht="16.149999999999999" customHeight="1">
      <c r="A7" s="1"/>
      <c r="B7" s="42">
        <v>16.32</v>
      </c>
      <c r="C7" s="7"/>
      <c r="D7" s="1"/>
      <c r="E7" s="42">
        <f t="shared" si="1"/>
        <v>0</v>
      </c>
      <c r="F7" s="44">
        <f t="shared" si="2"/>
        <v>0</v>
      </c>
      <c r="G7" s="45">
        <f t="shared" si="3"/>
        <v>0</v>
      </c>
      <c r="H7" s="43">
        <f>IF(E7&gt;12300, (0.03125*12300),E7*0.03125)</f>
        <v>0</v>
      </c>
      <c r="I7" s="43">
        <f t="shared" si="4"/>
        <v>0</v>
      </c>
      <c r="J7" s="43">
        <f t="shared" si="5"/>
        <v>0</v>
      </c>
      <c r="K7" s="43">
        <f t="shared" si="0"/>
        <v>0</v>
      </c>
      <c r="L7" s="15"/>
    </row>
    <row r="8" spans="1:14" ht="16.149999999999999" customHeight="1">
      <c r="A8" s="3" t="s">
        <v>124</v>
      </c>
      <c r="B8" s="42">
        <f>(B4+B7)/2</f>
        <v>17.16</v>
      </c>
      <c r="C8" s="7">
        <v>40</v>
      </c>
      <c r="D8" s="1">
        <v>3</v>
      </c>
      <c r="E8" s="42">
        <f t="shared" si="1"/>
        <v>2059.1999999999998</v>
      </c>
      <c r="F8" s="44">
        <f t="shared" si="2"/>
        <v>127.67039999999999</v>
      </c>
      <c r="G8" s="45">
        <f t="shared" si="3"/>
        <v>29.8584</v>
      </c>
      <c r="H8" s="43"/>
      <c r="I8" s="43"/>
      <c r="J8" s="43">
        <f t="shared" si="5"/>
        <v>157.52879999999999</v>
      </c>
      <c r="K8" s="43">
        <f t="shared" si="0"/>
        <v>2216.7287999999999</v>
      </c>
      <c r="L8" s="15"/>
    </row>
    <row r="9" spans="1:14" ht="16.899999999999999" customHeight="1">
      <c r="A9" s="1"/>
      <c r="B9" s="6"/>
      <c r="C9" s="24">
        <f>SUM(C3:C8)-C8</f>
        <v>117</v>
      </c>
      <c r="D9" s="1"/>
      <c r="E9" s="28">
        <f>SUM(E3:E8)</f>
        <v>122803.2</v>
      </c>
      <c r="F9" s="29"/>
      <c r="G9" s="29"/>
      <c r="H9" s="30">
        <f>SUM(H3:H7)</f>
        <v>1504.125</v>
      </c>
      <c r="I9" s="30">
        <f>SUM(I3:I7)</f>
        <v>36.098999999999997</v>
      </c>
      <c r="J9" s="30">
        <f>SUM(J3:J8)</f>
        <v>10934.668799999999</v>
      </c>
      <c r="K9" s="31">
        <f t="shared" si="0"/>
        <v>133737.8688</v>
      </c>
      <c r="L9" s="15"/>
    </row>
    <row r="10" spans="1:14" ht="12" customHeight="1">
      <c r="E10" s="33"/>
      <c r="F10" s="33"/>
      <c r="G10" s="33"/>
      <c r="H10" s="33"/>
      <c r="I10" s="33"/>
      <c r="J10" s="33"/>
      <c r="K10" s="33"/>
      <c r="L10" s="15"/>
    </row>
    <row r="11" spans="1:14" ht="15" customHeight="1">
      <c r="A11" s="13"/>
      <c r="E11" s="32"/>
      <c r="F11" s="33"/>
      <c r="G11" s="33"/>
      <c r="H11" s="33"/>
      <c r="I11" s="33"/>
      <c r="J11" s="34"/>
      <c r="K11" s="34"/>
      <c r="L11" s="15"/>
      <c r="M11" s="15"/>
    </row>
    <row r="12" spans="1:14">
      <c r="A12" s="1"/>
      <c r="B12" s="4"/>
      <c r="C12" s="2"/>
      <c r="D12" s="2"/>
      <c r="E12" s="26"/>
      <c r="F12" s="26"/>
      <c r="G12" s="27"/>
      <c r="H12" s="26"/>
      <c r="I12" s="26"/>
      <c r="J12" s="26"/>
      <c r="K12" s="26"/>
      <c r="L12" s="15"/>
      <c r="M12" s="135"/>
      <c r="N12" s="135"/>
    </row>
    <row r="13" spans="1:14">
      <c r="A13" s="1"/>
      <c r="B13" s="42"/>
      <c r="C13" s="1"/>
      <c r="D13" s="1"/>
      <c r="E13" s="42"/>
      <c r="F13" s="44"/>
      <c r="G13" s="45"/>
      <c r="H13" s="43"/>
      <c r="I13" s="43"/>
      <c r="J13" s="43"/>
      <c r="K13" s="43"/>
      <c r="L13" s="17"/>
      <c r="M13" s="15"/>
      <c r="N13" s="15"/>
    </row>
    <row r="14" spans="1:14">
      <c r="A14" s="1"/>
      <c r="B14" s="42"/>
      <c r="C14" s="1"/>
      <c r="D14" s="1"/>
      <c r="E14" s="42"/>
      <c r="F14" s="44"/>
      <c r="G14" s="45"/>
      <c r="H14" s="43"/>
      <c r="I14" s="43"/>
      <c r="J14" s="43"/>
      <c r="K14" s="43"/>
      <c r="L14" s="15"/>
      <c r="M14" s="15"/>
      <c r="N14" s="15"/>
    </row>
    <row r="15" spans="1:14">
      <c r="A15" s="1"/>
      <c r="B15" s="42"/>
      <c r="C15" s="1"/>
      <c r="D15" s="1"/>
      <c r="E15" s="42"/>
      <c r="F15" s="44"/>
      <c r="G15" s="45"/>
      <c r="H15" s="43"/>
      <c r="I15" s="43"/>
      <c r="J15" s="43"/>
      <c r="K15" s="43"/>
      <c r="M15" s="15"/>
      <c r="N15" s="15"/>
    </row>
    <row r="16" spans="1:14">
      <c r="A16" s="5"/>
      <c r="B16" s="12"/>
      <c r="C16" s="5"/>
      <c r="D16" s="5"/>
      <c r="E16" s="35"/>
      <c r="F16" s="27"/>
      <c r="G16" s="27"/>
      <c r="H16" s="39"/>
      <c r="I16" s="39"/>
      <c r="J16" s="30"/>
      <c r="K16" s="31"/>
      <c r="N16" s="17"/>
    </row>
    <row r="17" spans="1:15" ht="15.6" customHeight="1">
      <c r="B17" s="19"/>
      <c r="D17" s="13"/>
      <c r="E17" s="20"/>
      <c r="F17" s="13"/>
      <c r="K17" s="15"/>
      <c r="L17" s="16"/>
      <c r="M17" s="17"/>
      <c r="N17" s="17"/>
    </row>
    <row r="18" spans="1:15" ht="15" customHeight="1">
      <c r="A18" s="13" t="s">
        <v>125</v>
      </c>
      <c r="L18" s="17"/>
      <c r="O18" s="13"/>
    </row>
    <row r="19" spans="1:15" ht="31.5" customHeight="1">
      <c r="A19" s="1"/>
      <c r="B19" s="4" t="s">
        <v>110</v>
      </c>
      <c r="C19" s="2" t="s">
        <v>111</v>
      </c>
      <c r="D19" s="2" t="s">
        <v>112</v>
      </c>
      <c r="E19" s="2" t="s">
        <v>113</v>
      </c>
      <c r="F19" s="2" t="s">
        <v>114</v>
      </c>
      <c r="G19" s="5" t="s">
        <v>115</v>
      </c>
      <c r="H19" s="26" t="s">
        <v>116</v>
      </c>
      <c r="I19" s="26" t="s">
        <v>117</v>
      </c>
      <c r="J19" s="2" t="s">
        <v>118</v>
      </c>
      <c r="K19" s="2" t="s">
        <v>119</v>
      </c>
      <c r="M19"/>
      <c r="N19"/>
      <c r="O19" s="13"/>
    </row>
    <row r="20" spans="1:15" s="13" customFormat="1">
      <c r="A20" s="1" t="s">
        <v>120</v>
      </c>
      <c r="B20" s="42">
        <f>B3</f>
        <v>25</v>
      </c>
      <c r="C20" s="1">
        <v>40</v>
      </c>
      <c r="D20" s="1">
        <v>52</v>
      </c>
      <c r="E20" s="42">
        <f>B20*C20*D20</f>
        <v>52000</v>
      </c>
      <c r="F20" s="44">
        <f>0.062*E20</f>
        <v>3224</v>
      </c>
      <c r="G20" s="45">
        <f>0.0145*E20</f>
        <v>754</v>
      </c>
      <c r="H20" s="43">
        <f>IF(E20&gt;12300, (0.03125*12300),E20*0.03125)</f>
        <v>384.375</v>
      </c>
      <c r="I20" s="43">
        <f>IF(E20&gt;12300, (0.00075*12300),E20*0.00075)</f>
        <v>9.2249999999999996</v>
      </c>
      <c r="J20" s="43">
        <f>SUM(F20:I20)</f>
        <v>4371.6000000000004</v>
      </c>
      <c r="K20" s="43">
        <f t="shared" ref="K20:K26" si="6">E20+J20</f>
        <v>56371.6</v>
      </c>
      <c r="O20"/>
    </row>
    <row r="21" spans="1:15">
      <c r="A21" s="1" t="s">
        <v>126</v>
      </c>
      <c r="B21" s="42">
        <f>B4</f>
        <v>18</v>
      </c>
      <c r="C21" s="1">
        <v>33</v>
      </c>
      <c r="D21" s="1">
        <v>52</v>
      </c>
      <c r="E21" s="42">
        <f>+B21*C21*D21</f>
        <v>30888</v>
      </c>
      <c r="F21" s="44">
        <f t="shared" ref="F21:F25" si="7">0.062*E21</f>
        <v>1915.056</v>
      </c>
      <c r="G21" s="45">
        <f t="shared" ref="G21:G25" si="8">0.0145*E21</f>
        <v>447.87600000000003</v>
      </c>
      <c r="H21" s="43">
        <f t="shared" ref="H21:H24" si="9">IF(E21&gt;12300, (0.03125*12300),E21*0.03125)</f>
        <v>384.375</v>
      </c>
      <c r="I21" s="43">
        <f t="shared" ref="I21:I24" si="10">IF(E21&gt;12300, (0.00075*12300),E21*0.00075)</f>
        <v>9.2249999999999996</v>
      </c>
      <c r="J21" s="43">
        <f t="shared" ref="J21:J25" si="11">SUM(F21:I21)</f>
        <v>2756.5320000000002</v>
      </c>
      <c r="K21" s="43">
        <f t="shared" si="6"/>
        <v>33644.531999999999</v>
      </c>
      <c r="M21"/>
      <c r="N21"/>
    </row>
    <row r="22" spans="1:15">
      <c r="A22" s="1" t="s">
        <v>122</v>
      </c>
      <c r="B22" s="42">
        <f>B5</f>
        <v>18</v>
      </c>
      <c r="C22" s="1">
        <v>12</v>
      </c>
      <c r="D22" s="1">
        <v>52</v>
      </c>
      <c r="E22" s="42">
        <f t="shared" ref="E22:E23" si="12">+B22*C22*D22</f>
        <v>11232</v>
      </c>
      <c r="F22" s="44">
        <f t="shared" si="7"/>
        <v>696.38400000000001</v>
      </c>
      <c r="G22" s="45">
        <f t="shared" si="8"/>
        <v>162.864</v>
      </c>
      <c r="H22" s="43">
        <f t="shared" si="9"/>
        <v>351</v>
      </c>
      <c r="I22" s="43">
        <f t="shared" si="10"/>
        <v>8.4239999999999995</v>
      </c>
      <c r="J22" s="43">
        <f t="shared" si="11"/>
        <v>1218.672</v>
      </c>
      <c r="K22" s="43">
        <f t="shared" si="6"/>
        <v>12450.672</v>
      </c>
      <c r="M22"/>
      <c r="N22"/>
    </row>
    <row r="23" spans="1:15">
      <c r="A23" s="1" t="s">
        <v>123</v>
      </c>
      <c r="B23" s="42">
        <f t="shared" ref="B23:B25" si="13">B6</f>
        <v>16</v>
      </c>
      <c r="C23" s="1">
        <v>32</v>
      </c>
      <c r="D23" s="1">
        <v>52</v>
      </c>
      <c r="E23" s="42">
        <f t="shared" si="12"/>
        <v>26624</v>
      </c>
      <c r="F23" s="44">
        <f t="shared" si="7"/>
        <v>1650.6880000000001</v>
      </c>
      <c r="G23" s="45">
        <f t="shared" si="8"/>
        <v>386.048</v>
      </c>
      <c r="H23" s="43">
        <f t="shared" si="9"/>
        <v>384.375</v>
      </c>
      <c r="I23" s="43">
        <f t="shared" si="10"/>
        <v>9.2249999999999996</v>
      </c>
      <c r="J23" s="43">
        <f t="shared" si="11"/>
        <v>2430.3359999999998</v>
      </c>
      <c r="K23" s="43">
        <f t="shared" si="6"/>
        <v>29054.335999999999</v>
      </c>
      <c r="M23"/>
      <c r="N23"/>
    </row>
    <row r="24" spans="1:15">
      <c r="A24" s="1"/>
      <c r="B24" s="42">
        <f t="shared" si="13"/>
        <v>16.32</v>
      </c>
      <c r="C24" s="7">
        <f>C7-C14</f>
        <v>0</v>
      </c>
      <c r="D24" s="1">
        <v>52</v>
      </c>
      <c r="E24" s="42">
        <f>+B24*C24*D24</f>
        <v>0</v>
      </c>
      <c r="F24" s="44">
        <f t="shared" si="7"/>
        <v>0</v>
      </c>
      <c r="G24" s="45">
        <f t="shared" si="8"/>
        <v>0</v>
      </c>
      <c r="H24" s="43">
        <f t="shared" si="9"/>
        <v>0</v>
      </c>
      <c r="I24" s="43">
        <f t="shared" si="10"/>
        <v>0</v>
      </c>
      <c r="J24" s="43">
        <f t="shared" si="11"/>
        <v>0</v>
      </c>
      <c r="K24" s="43">
        <f t="shared" si="6"/>
        <v>0</v>
      </c>
    </row>
    <row r="25" spans="1:15">
      <c r="A25" s="3" t="s">
        <v>124</v>
      </c>
      <c r="B25" s="42">
        <f t="shared" si="13"/>
        <v>17.16</v>
      </c>
      <c r="C25" s="37">
        <f>C8</f>
        <v>40</v>
      </c>
      <c r="D25" s="1">
        <f>D8</f>
        <v>3</v>
      </c>
      <c r="E25" s="42">
        <f t="shared" ref="E25" si="14">+B25*C25*D25</f>
        <v>2059.1999999999998</v>
      </c>
      <c r="F25" s="44">
        <f t="shared" si="7"/>
        <v>127.67039999999999</v>
      </c>
      <c r="G25" s="45">
        <f t="shared" si="8"/>
        <v>29.8584</v>
      </c>
      <c r="H25" s="46"/>
      <c r="I25" s="46"/>
      <c r="J25" s="43">
        <f t="shared" si="11"/>
        <v>157.52879999999999</v>
      </c>
      <c r="K25" s="43">
        <f t="shared" si="6"/>
        <v>2216.7287999999999</v>
      </c>
    </row>
    <row r="26" spans="1:15">
      <c r="A26" s="1"/>
      <c r="B26" s="6"/>
      <c r="C26" s="23">
        <f>SUM(C20:C24)</f>
        <v>117</v>
      </c>
      <c r="D26" s="1"/>
      <c r="E26" s="8">
        <f>SUM(E20:E25)</f>
        <v>122803.2</v>
      </c>
      <c r="F26" s="1"/>
      <c r="G26" s="1"/>
      <c r="H26" s="1"/>
      <c r="I26" s="1"/>
      <c r="J26" s="9">
        <f>SUM(J20:J25)</f>
        <v>10934.668799999999</v>
      </c>
      <c r="K26" s="22">
        <f t="shared" si="6"/>
        <v>133737.8688</v>
      </c>
    </row>
    <row r="27" spans="1:15">
      <c r="E27" s="10"/>
      <c r="K27" s="15"/>
    </row>
    <row r="28" spans="1:15">
      <c r="B28"/>
      <c r="C28" s="38"/>
      <c r="E28" s="10"/>
      <c r="J28"/>
      <c r="K28" s="10"/>
    </row>
    <row r="29" spans="1:15">
      <c r="A29" s="25">
        <v>44845</v>
      </c>
      <c r="E29" s="10"/>
      <c r="K29" s="14"/>
    </row>
    <row r="30" spans="1:15">
      <c r="J30" s="136" t="s">
        <v>127</v>
      </c>
      <c r="K30" s="137"/>
      <c r="L30" s="137"/>
    </row>
    <row r="31" spans="1:15">
      <c r="J31" s="21" t="s">
        <v>128</v>
      </c>
      <c r="K31" s="21">
        <v>2023</v>
      </c>
      <c r="L31" s="21" t="s">
        <v>129</v>
      </c>
    </row>
    <row r="32" spans="1:15">
      <c r="A32" s="17" t="s">
        <v>130</v>
      </c>
      <c r="B32" s="11" t="s">
        <v>131</v>
      </c>
      <c r="C32" s="11" t="s">
        <v>132</v>
      </c>
      <c r="J32" s="1" t="s">
        <v>133</v>
      </c>
      <c r="K32" s="47">
        <v>23.69</v>
      </c>
      <c r="L32" s="47">
        <f>1.02*K32</f>
        <v>24.163800000000002</v>
      </c>
    </row>
    <row r="33" spans="1:12">
      <c r="A33" s="11" t="s">
        <v>133</v>
      </c>
      <c r="B33" s="11">
        <v>1</v>
      </c>
      <c r="C33" s="11">
        <v>20</v>
      </c>
      <c r="J33" s="1" t="s">
        <v>134</v>
      </c>
      <c r="K33" s="47">
        <v>17</v>
      </c>
      <c r="L33" s="47">
        <f t="shared" ref="L33:L36" si="15">1.02*K33</f>
        <v>17.34</v>
      </c>
    </row>
    <row r="34" spans="1:12">
      <c r="A34" s="11" t="s">
        <v>134</v>
      </c>
      <c r="B34" s="11">
        <v>1</v>
      </c>
      <c r="C34" s="11">
        <v>20</v>
      </c>
      <c r="J34" s="1" t="s">
        <v>135</v>
      </c>
      <c r="K34" s="47">
        <v>17</v>
      </c>
      <c r="L34" s="47">
        <f t="shared" si="15"/>
        <v>17.34</v>
      </c>
    </row>
    <row r="35" spans="1:12">
      <c r="A35" s="11" t="s">
        <v>135</v>
      </c>
      <c r="B35" s="11"/>
      <c r="C35" s="40"/>
      <c r="J35" s="1" t="s">
        <v>136</v>
      </c>
      <c r="K35" s="47">
        <v>16</v>
      </c>
      <c r="L35" s="47">
        <f t="shared" si="15"/>
        <v>16.32</v>
      </c>
    </row>
    <row r="36" spans="1:12">
      <c r="A36" s="11" t="s">
        <v>136</v>
      </c>
      <c r="B36" s="11"/>
      <c r="C36" s="11">
        <f>SUM(C33:C35)</f>
        <v>40</v>
      </c>
      <c r="J36" s="1"/>
      <c r="K36" s="47">
        <v>16.72</v>
      </c>
      <c r="L36" s="47">
        <f t="shared" si="15"/>
        <v>17.054399999999998</v>
      </c>
    </row>
    <row r="37" spans="1:12">
      <c r="J37" s="1"/>
      <c r="K37" s="1"/>
      <c r="L37" s="1"/>
    </row>
    <row r="38" spans="1:12">
      <c r="J38"/>
      <c r="K38"/>
      <c r="L38" t="s">
        <v>137</v>
      </c>
    </row>
    <row r="56" spans="13:14">
      <c r="M56" s="18"/>
      <c r="N56" s="18"/>
    </row>
  </sheetData>
  <mergeCells count="2">
    <mergeCell ref="M12:N12"/>
    <mergeCell ref="J30:L30"/>
  </mergeCells>
  <pageMargins left="0.25" right="0.25" top="0.75" bottom="0.75" header="0.3" footer="0.3"/>
  <pageSetup scale="82" orientation="landscape" horizontalDpi="4294967293" r:id="rId1"/>
  <headerFooter>
    <oddHeader>&amp;C&amp;"-,Bold"&amp;14 2023 Budget Worksheet&amp;RMontour Falls Memorial Library</oddHeader>
    <oddFooter>&amp;L&amp;A&amp;R&amp;P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69536b6-f1f3-4034-a311-f7939c85f065" xsi:nil="true"/>
    <lcf76f155ced4ddcb4097134ff3c332f xmlns="96b3488a-463a-4501-a244-a6df5325dc2a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2EC2D13C23BE4DB9A68B94125282A8" ma:contentTypeVersion="9" ma:contentTypeDescription="Create a new document." ma:contentTypeScope="" ma:versionID="0fb5b8878714834200c14a470fc55657">
  <xsd:schema xmlns:xsd="http://www.w3.org/2001/XMLSchema" xmlns:xs="http://www.w3.org/2001/XMLSchema" xmlns:p="http://schemas.microsoft.com/office/2006/metadata/properties" xmlns:ns2="96b3488a-463a-4501-a244-a6df5325dc2a" xmlns:ns3="a69536b6-f1f3-4034-a311-f7939c85f065" targetNamespace="http://schemas.microsoft.com/office/2006/metadata/properties" ma:root="true" ma:fieldsID="b51c9fa23ed05142dd8e117cfbc91dad" ns2:_="" ns3:_="">
    <xsd:import namespace="96b3488a-463a-4501-a244-a6df5325dc2a"/>
    <xsd:import namespace="a69536b6-f1f3-4034-a311-f7939c85f06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b3488a-463a-4501-a244-a6df5325dc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161ca0e7-7575-4d95-bcf6-8887a8af1bf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9536b6-f1f3-4034-a311-f7939c85f065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c527946b-e7f1-4db8-ba16-28346b5a3cc9}" ma:internalName="TaxCatchAll" ma:showField="CatchAllData" ma:web="a69536b6-f1f3-4034-a311-f7939c85f06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3339C80-F12F-40B0-BF89-3D935EE6E427}"/>
</file>

<file path=customXml/itemProps2.xml><?xml version="1.0" encoding="utf-8"?>
<ds:datastoreItem xmlns:ds="http://schemas.openxmlformats.org/officeDocument/2006/customXml" ds:itemID="{26993FC2-2A13-41F7-ACC0-09CBC02ACB58}"/>
</file>

<file path=customXml/itemProps3.xml><?xml version="1.0" encoding="utf-8"?>
<ds:datastoreItem xmlns:ds="http://schemas.openxmlformats.org/officeDocument/2006/customXml" ds:itemID="{5942BD6D-639B-41C9-B357-B166BAAA77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St Luke's Cornwall Hospital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Kathie Holter</dc:creator>
  <cp:keywords/>
  <dc:description/>
  <cp:lastModifiedBy/>
  <cp:revision/>
  <dcterms:created xsi:type="dcterms:W3CDTF">2014-01-22T21:03:38Z</dcterms:created>
  <dcterms:modified xsi:type="dcterms:W3CDTF">2023-12-18T18:32:45Z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0x0101001F2EC2D13C23BE4DB9A68B94125282A8</vt:lpwstr>
  </property>
  <property fmtid="{D5CDD505-2E9C-101B-9397-08002B2CF9AE}" pid="3" name="MediaServiceImageTags">
    <vt:lpwstr/>
  </property>
</Properties>
</file>